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4130"/>
  </bookViews>
  <sheets>
    <sheet name="גיליון1" sheetId="1" r:id="rId1"/>
    <sheet name="גיליון2" sheetId="2" r:id="rId2"/>
    <sheet name="גיליון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45" i="2" l="1"/>
  <c r="E245" i="2"/>
  <c r="D245" i="2"/>
  <c r="C245" i="2"/>
  <c r="B245" i="2"/>
  <c r="G244" i="2"/>
  <c r="F244" i="2"/>
  <c r="E244" i="2"/>
  <c r="D244" i="2"/>
  <c r="C244" i="2"/>
  <c r="B244" i="2"/>
  <c r="F243" i="2"/>
  <c r="E243" i="2"/>
  <c r="I242" i="2"/>
  <c r="H242" i="2"/>
  <c r="G242" i="2"/>
  <c r="F242" i="2"/>
  <c r="E242" i="2"/>
  <c r="H241" i="2"/>
  <c r="G241" i="2"/>
  <c r="F241" i="2"/>
  <c r="E241" i="2"/>
  <c r="C241" i="2"/>
  <c r="H240" i="2"/>
  <c r="G240" i="2"/>
  <c r="F240" i="2"/>
  <c r="E240" i="2"/>
  <c r="H239" i="2"/>
  <c r="G239" i="2"/>
  <c r="F239" i="2"/>
  <c r="E239" i="2"/>
  <c r="B239" i="2"/>
  <c r="H238" i="2"/>
  <c r="G238" i="2"/>
  <c r="F238" i="2"/>
  <c r="E238" i="2"/>
  <c r="B238" i="2"/>
  <c r="H235" i="2"/>
  <c r="G235" i="2"/>
  <c r="F235" i="2"/>
  <c r="E235" i="2"/>
  <c r="D235" i="2"/>
  <c r="C235" i="2"/>
  <c r="B235" i="2"/>
  <c r="H234" i="2"/>
  <c r="G234" i="2"/>
  <c r="F234" i="2"/>
  <c r="E234" i="2"/>
  <c r="D234" i="2"/>
  <c r="C234" i="2"/>
  <c r="B234" i="2"/>
  <c r="H233" i="2"/>
  <c r="G233" i="2"/>
  <c r="F233" i="2"/>
  <c r="E233" i="2"/>
  <c r="J232" i="2"/>
  <c r="H232" i="2"/>
  <c r="G232" i="2"/>
  <c r="F232" i="2"/>
  <c r="E232" i="2"/>
  <c r="H231" i="2"/>
  <c r="G231" i="2"/>
  <c r="F231" i="2"/>
  <c r="E231" i="2"/>
  <c r="J230" i="2"/>
  <c r="H230" i="2"/>
  <c r="G230" i="2"/>
  <c r="F230" i="2"/>
  <c r="E230" i="2"/>
  <c r="H229" i="2"/>
  <c r="G229" i="2"/>
  <c r="F229" i="2"/>
  <c r="E229" i="2"/>
  <c r="I228" i="2"/>
  <c r="H228" i="2"/>
  <c r="G228" i="2"/>
  <c r="F228" i="2"/>
  <c r="E228" i="2"/>
  <c r="I227" i="2"/>
  <c r="H227" i="2"/>
  <c r="G227" i="2"/>
  <c r="F227" i="2"/>
  <c r="E227" i="2"/>
  <c r="B227" i="2"/>
  <c r="K225" i="2"/>
  <c r="J225" i="2"/>
  <c r="I225" i="2"/>
  <c r="H225" i="2"/>
  <c r="G225" i="2"/>
  <c r="F225" i="2"/>
  <c r="E225" i="2"/>
  <c r="D225" i="2"/>
  <c r="C225" i="2"/>
  <c r="B225" i="2"/>
  <c r="H224" i="2"/>
  <c r="G224" i="2"/>
  <c r="E224" i="2"/>
  <c r="I223" i="2"/>
  <c r="H223" i="2"/>
  <c r="G223" i="2"/>
  <c r="F223" i="2"/>
  <c r="E223" i="2"/>
  <c r="D223" i="2"/>
  <c r="C223" i="2"/>
  <c r="B223" i="2"/>
  <c r="K222" i="2"/>
  <c r="J222" i="2"/>
  <c r="I222" i="2"/>
  <c r="H222" i="2"/>
  <c r="H221" i="2"/>
  <c r="H220" i="2"/>
  <c r="F220" i="2"/>
  <c r="H219" i="2"/>
  <c r="J218" i="2"/>
  <c r="H218" i="2"/>
  <c r="H217" i="2"/>
  <c r="H216" i="2"/>
  <c r="C216" i="2"/>
  <c r="H215" i="2"/>
  <c r="I214" i="2"/>
  <c r="H214" i="2"/>
  <c r="K213" i="2"/>
  <c r="J213" i="2"/>
  <c r="I213" i="2"/>
  <c r="H213" i="2"/>
  <c r="G213" i="2"/>
  <c r="E213" i="2"/>
  <c r="B213" i="2"/>
  <c r="H212" i="2"/>
  <c r="G212" i="2"/>
  <c r="F212" i="2"/>
  <c r="E212" i="2"/>
  <c r="D212" i="2"/>
  <c r="C212" i="2"/>
  <c r="B212" i="2"/>
  <c r="H211" i="2"/>
  <c r="H210" i="2"/>
  <c r="H209" i="2"/>
  <c r="H208" i="2"/>
  <c r="H207" i="2"/>
  <c r="H206" i="2"/>
  <c r="I205" i="2"/>
  <c r="H205" i="2"/>
  <c r="G205" i="2"/>
  <c r="E205" i="2"/>
  <c r="B205" i="2"/>
  <c r="I204" i="2"/>
  <c r="H204" i="2"/>
  <c r="B204" i="2"/>
  <c r="K203" i="2"/>
  <c r="J203" i="2"/>
  <c r="I203" i="2"/>
  <c r="H203" i="2"/>
  <c r="G203" i="2"/>
  <c r="F203" i="2"/>
  <c r="E203" i="2"/>
  <c r="D203" i="2"/>
  <c r="C203" i="2"/>
  <c r="B203" i="2"/>
  <c r="K202" i="2"/>
  <c r="J202" i="2"/>
  <c r="I202" i="2"/>
  <c r="E202" i="2"/>
  <c r="B202" i="2"/>
  <c r="K201" i="2"/>
  <c r="J201" i="2"/>
  <c r="I201" i="2"/>
  <c r="E201" i="2"/>
  <c r="B201" i="2"/>
  <c r="K200" i="2"/>
  <c r="J200" i="2"/>
  <c r="I200" i="2"/>
  <c r="H200" i="2"/>
  <c r="G200" i="2"/>
  <c r="F200" i="2"/>
  <c r="E200" i="2"/>
  <c r="B200" i="2"/>
  <c r="B196" i="2"/>
  <c r="B50" i="2"/>
  <c r="B226" i="2" s="1"/>
  <c r="F49" i="2"/>
  <c r="F246" i="2" s="1"/>
  <c r="F48" i="2"/>
  <c r="F245" i="2" s="1"/>
  <c r="B48" i="2"/>
  <c r="K46" i="2"/>
  <c r="K241" i="2" s="1"/>
  <c r="J46" i="2"/>
  <c r="I241" i="2" s="1"/>
  <c r="K45" i="2"/>
  <c r="K240" i="2" s="1"/>
  <c r="J45" i="2"/>
  <c r="J240" i="2" s="1"/>
  <c r="D45" i="2"/>
  <c r="B242" i="2" s="1"/>
  <c r="C45" i="2"/>
  <c r="C242" i="2" s="1"/>
  <c r="K44" i="2"/>
  <c r="K239" i="2" s="1"/>
  <c r="J44" i="2"/>
  <c r="I239" i="2" s="1"/>
  <c r="D44" i="2"/>
  <c r="D241" i="2" s="1"/>
  <c r="C44" i="2"/>
  <c r="B241" i="2" s="1"/>
  <c r="K43" i="2"/>
  <c r="K238" i="2" s="1"/>
  <c r="J43" i="2"/>
  <c r="J238" i="2" s="1"/>
  <c r="D43" i="2"/>
  <c r="B240" i="2" s="1"/>
  <c r="C43" i="2"/>
  <c r="C240" i="2" s="1"/>
  <c r="K41" i="2"/>
  <c r="K236" i="2" s="1"/>
  <c r="J41" i="2"/>
  <c r="J236" i="2" s="1"/>
  <c r="K39" i="2"/>
  <c r="K234" i="2" s="1"/>
  <c r="J39" i="2"/>
  <c r="J234" i="2" s="1"/>
  <c r="D38" i="2"/>
  <c r="D233" i="2" s="1"/>
  <c r="C38" i="2"/>
  <c r="C233" i="2" s="1"/>
  <c r="K37" i="2"/>
  <c r="K232" i="2" s="1"/>
  <c r="J37" i="2"/>
  <c r="K36" i="2"/>
  <c r="K231" i="2" s="1"/>
  <c r="J36" i="2"/>
  <c r="I231" i="2" s="1"/>
  <c r="K35" i="2"/>
  <c r="K230" i="2" s="1"/>
  <c r="J35" i="2"/>
  <c r="K34" i="2"/>
  <c r="K229" i="2" s="1"/>
  <c r="J34" i="2"/>
  <c r="I229" i="2" s="1"/>
  <c r="K29" i="2"/>
  <c r="K224" i="2" s="1"/>
  <c r="J29" i="2"/>
  <c r="J224" i="2" s="1"/>
  <c r="B29" i="2"/>
  <c r="F26" i="2"/>
  <c r="F221" i="2" s="1"/>
  <c r="D26" i="2"/>
  <c r="D221" i="2" s="1"/>
  <c r="C26" i="2"/>
  <c r="K25" i="2"/>
  <c r="K220" i="2" s="1"/>
  <c r="J25" i="2"/>
  <c r="J220" i="2" s="1"/>
  <c r="F25" i="2"/>
  <c r="D25" i="2"/>
  <c r="D220" i="2" s="1"/>
  <c r="C25" i="2"/>
  <c r="C220" i="2" s="1"/>
  <c r="K24" i="2"/>
  <c r="K219" i="2" s="1"/>
  <c r="J24" i="2"/>
  <c r="J219" i="2" s="1"/>
  <c r="F24" i="2"/>
  <c r="F219" i="2" s="1"/>
  <c r="D24" i="2"/>
  <c r="D219" i="2" s="1"/>
  <c r="C24" i="2"/>
  <c r="K23" i="2"/>
  <c r="K218" i="2" s="1"/>
  <c r="J23" i="2"/>
  <c r="I218" i="2" s="1"/>
  <c r="F23" i="2"/>
  <c r="F27" i="2" s="1"/>
  <c r="D23" i="2"/>
  <c r="D218" i="2" s="1"/>
  <c r="C23" i="2"/>
  <c r="C218" i="2" s="1"/>
  <c r="K22" i="2"/>
  <c r="K217" i="2" s="1"/>
  <c r="J22" i="2"/>
  <c r="J217" i="2" s="1"/>
  <c r="F22" i="2"/>
  <c r="F217" i="2" s="1"/>
  <c r="D22" i="2"/>
  <c r="D217" i="2" s="1"/>
  <c r="C22" i="2"/>
  <c r="K21" i="2"/>
  <c r="K216" i="2" s="1"/>
  <c r="J21" i="2"/>
  <c r="J216" i="2" s="1"/>
  <c r="I21" i="2"/>
  <c r="I216" i="2" s="1"/>
  <c r="F21" i="2"/>
  <c r="F216" i="2" s="1"/>
  <c r="D21" i="2"/>
  <c r="D216" i="2" s="1"/>
  <c r="C21" i="2"/>
  <c r="K20" i="2"/>
  <c r="K215" i="2" s="1"/>
  <c r="J20" i="2"/>
  <c r="J215" i="2" s="1"/>
  <c r="F20" i="2"/>
  <c r="F215" i="2" s="1"/>
  <c r="D20" i="2"/>
  <c r="D215" i="2" s="1"/>
  <c r="C20" i="2"/>
  <c r="F19" i="2"/>
  <c r="F214" i="2" s="1"/>
  <c r="D19" i="2"/>
  <c r="D214" i="2" s="1"/>
  <c r="C19" i="2"/>
  <c r="C27" i="2" s="1"/>
  <c r="F18" i="2"/>
  <c r="F213" i="2" s="1"/>
  <c r="K16" i="2"/>
  <c r="K211" i="2" s="1"/>
  <c r="J16" i="2"/>
  <c r="J211" i="2" s="1"/>
  <c r="K15" i="2"/>
  <c r="K210" i="2" s="1"/>
  <c r="J15" i="2"/>
  <c r="J210" i="2" s="1"/>
  <c r="F15" i="2"/>
  <c r="F210" i="2" s="1"/>
  <c r="D15" i="2"/>
  <c r="D210" i="2" s="1"/>
  <c r="C15" i="2"/>
  <c r="C210" i="2" s="1"/>
  <c r="K14" i="2"/>
  <c r="K17" i="2" s="1"/>
  <c r="K212" i="2" s="1"/>
  <c r="J14" i="2"/>
  <c r="J209" i="2" s="1"/>
  <c r="F14" i="2"/>
  <c r="F209" i="2" s="1"/>
  <c r="D14" i="2"/>
  <c r="D209" i="2" s="1"/>
  <c r="C14" i="2"/>
  <c r="K13" i="2"/>
  <c r="K208" i="2" s="1"/>
  <c r="J13" i="2"/>
  <c r="J208" i="2" s="1"/>
  <c r="F13" i="2"/>
  <c r="F208" i="2" s="1"/>
  <c r="D13" i="2"/>
  <c r="D208" i="2" s="1"/>
  <c r="C13" i="2"/>
  <c r="C208" i="2" s="1"/>
  <c r="K12" i="2"/>
  <c r="K207" i="2" s="1"/>
  <c r="J12" i="2"/>
  <c r="J207" i="2" s="1"/>
  <c r="F12" i="2"/>
  <c r="F207" i="2" s="1"/>
  <c r="D12" i="2"/>
  <c r="D16" i="2" s="1"/>
  <c r="C12" i="2"/>
  <c r="K11" i="2"/>
  <c r="K206" i="2" s="1"/>
  <c r="J11" i="2"/>
  <c r="J206" i="2" s="1"/>
  <c r="F11" i="2"/>
  <c r="F206" i="2" s="1"/>
  <c r="D11" i="2"/>
  <c r="D206" i="2" s="1"/>
  <c r="C11" i="2"/>
  <c r="C206" i="2" s="1"/>
  <c r="K10" i="2"/>
  <c r="D42" i="2" s="1"/>
  <c r="D239" i="2" s="1"/>
  <c r="J10" i="2"/>
  <c r="J205" i="2" s="1"/>
  <c r="F10" i="2"/>
  <c r="F205" i="2" s="1"/>
  <c r="D10" i="2"/>
  <c r="D205" i="2" s="1"/>
  <c r="C10" i="2"/>
  <c r="C18" i="2" s="1"/>
  <c r="C213" i="2" s="1"/>
  <c r="G7" i="2"/>
  <c r="G202" i="2" s="1"/>
  <c r="C7" i="2"/>
  <c r="C202" i="2" s="1"/>
  <c r="G6" i="2"/>
  <c r="G201" i="2" s="1"/>
  <c r="C6" i="2"/>
  <c r="C5" i="2"/>
  <c r="D37" i="2" s="1"/>
  <c r="D232" i="2" s="1"/>
  <c r="E2" i="2"/>
  <c r="B195" i="2" s="1"/>
  <c r="E1" i="2"/>
  <c r="B194" i="2" s="1"/>
  <c r="K245" i="1"/>
  <c r="E245" i="1"/>
  <c r="D245" i="1"/>
  <c r="C245" i="1"/>
  <c r="G244" i="1"/>
  <c r="F244" i="1"/>
  <c r="E244" i="1"/>
  <c r="D244" i="1"/>
  <c r="C244" i="1"/>
  <c r="B244" i="1"/>
  <c r="F243" i="1"/>
  <c r="E243" i="1"/>
  <c r="I242" i="1"/>
  <c r="H242" i="1"/>
  <c r="G242" i="1"/>
  <c r="F242" i="1"/>
  <c r="E242" i="1"/>
  <c r="H241" i="1"/>
  <c r="G241" i="1"/>
  <c r="F241" i="1"/>
  <c r="E241" i="1"/>
  <c r="H240" i="1"/>
  <c r="G240" i="1"/>
  <c r="F240" i="1"/>
  <c r="E240" i="1"/>
  <c r="H239" i="1"/>
  <c r="G239" i="1"/>
  <c r="F239" i="1"/>
  <c r="E239" i="1"/>
  <c r="B239" i="1"/>
  <c r="H238" i="1"/>
  <c r="G238" i="1"/>
  <c r="F238" i="1"/>
  <c r="E238" i="1"/>
  <c r="B238" i="1"/>
  <c r="H235" i="1"/>
  <c r="G235" i="1"/>
  <c r="F235" i="1"/>
  <c r="E235" i="1"/>
  <c r="D235" i="1"/>
  <c r="C235" i="1"/>
  <c r="B235" i="1"/>
  <c r="H234" i="1"/>
  <c r="G234" i="1"/>
  <c r="F234" i="1"/>
  <c r="E234" i="1"/>
  <c r="D234" i="1"/>
  <c r="C234" i="1"/>
  <c r="B234" i="1"/>
  <c r="H233" i="1"/>
  <c r="G233" i="1"/>
  <c r="F233" i="1"/>
  <c r="E233" i="1"/>
  <c r="H232" i="1"/>
  <c r="G232" i="1"/>
  <c r="F232" i="1"/>
  <c r="E232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I228" i="1"/>
  <c r="H228" i="1"/>
  <c r="G228" i="1"/>
  <c r="F228" i="1"/>
  <c r="E228" i="1"/>
  <c r="I227" i="1"/>
  <c r="H227" i="1"/>
  <c r="G227" i="1"/>
  <c r="F227" i="1"/>
  <c r="E227" i="1"/>
  <c r="B227" i="1"/>
  <c r="K225" i="1"/>
  <c r="J225" i="1"/>
  <c r="I225" i="1"/>
  <c r="H225" i="1"/>
  <c r="G225" i="1"/>
  <c r="F225" i="1"/>
  <c r="E225" i="1"/>
  <c r="D225" i="1"/>
  <c r="C225" i="1"/>
  <c r="B225" i="1"/>
  <c r="H224" i="1"/>
  <c r="G224" i="1"/>
  <c r="E224" i="1"/>
  <c r="I223" i="1"/>
  <c r="H223" i="1"/>
  <c r="G223" i="1"/>
  <c r="F223" i="1"/>
  <c r="E223" i="1"/>
  <c r="D223" i="1"/>
  <c r="C223" i="1"/>
  <c r="B223" i="1"/>
  <c r="K222" i="1"/>
  <c r="J222" i="1"/>
  <c r="I222" i="1"/>
  <c r="H222" i="1"/>
  <c r="H221" i="1"/>
  <c r="H220" i="1"/>
  <c r="H219" i="1"/>
  <c r="H218" i="1"/>
  <c r="H217" i="1"/>
  <c r="H216" i="1"/>
  <c r="H215" i="1"/>
  <c r="I214" i="1"/>
  <c r="H214" i="1"/>
  <c r="K213" i="1"/>
  <c r="J213" i="1"/>
  <c r="I213" i="1"/>
  <c r="H213" i="1"/>
  <c r="G213" i="1"/>
  <c r="E213" i="1"/>
  <c r="B213" i="1"/>
  <c r="H212" i="1"/>
  <c r="G212" i="1"/>
  <c r="F212" i="1"/>
  <c r="E212" i="1"/>
  <c r="D212" i="1"/>
  <c r="C212" i="1"/>
  <c r="B212" i="1"/>
  <c r="H211" i="1"/>
  <c r="H210" i="1"/>
  <c r="H209" i="1"/>
  <c r="H208" i="1"/>
  <c r="H207" i="1"/>
  <c r="H206" i="1"/>
  <c r="I205" i="1"/>
  <c r="H205" i="1"/>
  <c r="G205" i="1"/>
  <c r="E205" i="1"/>
  <c r="B205" i="1"/>
  <c r="I204" i="1"/>
  <c r="H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E202" i="1"/>
  <c r="B202" i="1"/>
  <c r="K201" i="1"/>
  <c r="J201" i="1"/>
  <c r="I201" i="1"/>
  <c r="E201" i="1"/>
  <c r="B201" i="1"/>
  <c r="K200" i="1"/>
  <c r="J200" i="1"/>
  <c r="I200" i="1"/>
  <c r="H200" i="1"/>
  <c r="G200" i="1"/>
  <c r="F200" i="1"/>
  <c r="E200" i="1"/>
  <c r="B200" i="1"/>
  <c r="B196" i="1"/>
  <c r="B50" i="1"/>
  <c r="B226" i="1" s="1"/>
  <c r="F49" i="1"/>
  <c r="F246" i="1" s="1"/>
  <c r="F48" i="1"/>
  <c r="F245" i="1" s="1"/>
  <c r="B48" i="1"/>
  <c r="B245" i="1" s="1"/>
  <c r="K46" i="1"/>
  <c r="K241" i="1" s="1"/>
  <c r="J46" i="1"/>
  <c r="I241" i="1" s="1"/>
  <c r="K45" i="1"/>
  <c r="K240" i="1" s="1"/>
  <c r="J45" i="1"/>
  <c r="J240" i="1" s="1"/>
  <c r="D45" i="1"/>
  <c r="D242" i="1" s="1"/>
  <c r="C45" i="1"/>
  <c r="C242" i="1" s="1"/>
  <c r="K44" i="1"/>
  <c r="K239" i="1" s="1"/>
  <c r="J44" i="1"/>
  <c r="I239" i="1" s="1"/>
  <c r="D44" i="1"/>
  <c r="D241" i="1" s="1"/>
  <c r="C44" i="1"/>
  <c r="C241" i="1" s="1"/>
  <c r="K43" i="1"/>
  <c r="K238" i="1" s="1"/>
  <c r="J43" i="1"/>
  <c r="J238" i="1" s="1"/>
  <c r="D43" i="1"/>
  <c r="D46" i="1" s="1"/>
  <c r="D243" i="1" s="1"/>
  <c r="C43" i="1"/>
  <c r="C240" i="1" s="1"/>
  <c r="K41" i="1"/>
  <c r="K236" i="1" s="1"/>
  <c r="J41" i="1"/>
  <c r="J236" i="1" s="1"/>
  <c r="K39" i="1"/>
  <c r="K234" i="1" s="1"/>
  <c r="J39" i="1"/>
  <c r="J234" i="1" s="1"/>
  <c r="D38" i="1"/>
  <c r="D233" i="1" s="1"/>
  <c r="C38" i="1"/>
  <c r="C233" i="1" s="1"/>
  <c r="K37" i="1"/>
  <c r="K232" i="1" s="1"/>
  <c r="J37" i="1"/>
  <c r="J232" i="1" s="1"/>
  <c r="K36" i="1"/>
  <c r="K231" i="1" s="1"/>
  <c r="J36" i="1"/>
  <c r="I231" i="1" s="1"/>
  <c r="K35" i="1"/>
  <c r="K230" i="1" s="1"/>
  <c r="J35" i="1"/>
  <c r="J230" i="1" s="1"/>
  <c r="K34" i="1"/>
  <c r="K229" i="1" s="1"/>
  <c r="J34" i="1"/>
  <c r="I229" i="1" s="1"/>
  <c r="K29" i="1"/>
  <c r="K224" i="1" s="1"/>
  <c r="J29" i="1"/>
  <c r="J224" i="1" s="1"/>
  <c r="B29" i="1"/>
  <c r="F26" i="1"/>
  <c r="F221" i="1" s="1"/>
  <c r="D26" i="1"/>
  <c r="D221" i="1" s="1"/>
  <c r="C26" i="1"/>
  <c r="K25" i="1"/>
  <c r="K220" i="1" s="1"/>
  <c r="J25" i="1"/>
  <c r="J220" i="1" s="1"/>
  <c r="F25" i="1"/>
  <c r="F220" i="1" s="1"/>
  <c r="D25" i="1"/>
  <c r="D220" i="1" s="1"/>
  <c r="C25" i="1"/>
  <c r="C220" i="1" s="1"/>
  <c r="K24" i="1"/>
  <c r="K219" i="1" s="1"/>
  <c r="J24" i="1"/>
  <c r="J219" i="1" s="1"/>
  <c r="F24" i="1"/>
  <c r="F219" i="1" s="1"/>
  <c r="D24" i="1"/>
  <c r="D219" i="1" s="1"/>
  <c r="C24" i="1"/>
  <c r="K23" i="1"/>
  <c r="K218" i="1" s="1"/>
  <c r="J23" i="1"/>
  <c r="J218" i="1" s="1"/>
  <c r="F23" i="1"/>
  <c r="F27" i="1" s="1"/>
  <c r="D23" i="1"/>
  <c r="D218" i="1" s="1"/>
  <c r="C23" i="1"/>
  <c r="C218" i="1" s="1"/>
  <c r="K22" i="1"/>
  <c r="K26" i="1" s="1"/>
  <c r="K221" i="1" s="1"/>
  <c r="J22" i="1"/>
  <c r="J217" i="1" s="1"/>
  <c r="F22" i="1"/>
  <c r="F217" i="1" s="1"/>
  <c r="D22" i="1"/>
  <c r="D217" i="1" s="1"/>
  <c r="C22" i="1"/>
  <c r="K21" i="1"/>
  <c r="K216" i="1" s="1"/>
  <c r="J21" i="1"/>
  <c r="J216" i="1" s="1"/>
  <c r="I21" i="1"/>
  <c r="I216" i="1" s="1"/>
  <c r="F21" i="1"/>
  <c r="F216" i="1" s="1"/>
  <c r="D21" i="1"/>
  <c r="D216" i="1" s="1"/>
  <c r="C21" i="1"/>
  <c r="C216" i="1" s="1"/>
  <c r="K20" i="1"/>
  <c r="K215" i="1" s="1"/>
  <c r="J20" i="1"/>
  <c r="J215" i="1" s="1"/>
  <c r="F20" i="1"/>
  <c r="F215" i="1" s="1"/>
  <c r="D20" i="1"/>
  <c r="D215" i="1" s="1"/>
  <c r="C20" i="1"/>
  <c r="F19" i="1"/>
  <c r="F214" i="1" s="1"/>
  <c r="D19" i="1"/>
  <c r="D214" i="1" s="1"/>
  <c r="C19" i="1"/>
  <c r="C27" i="1" s="1"/>
  <c r="K16" i="1"/>
  <c r="K211" i="1" s="1"/>
  <c r="J16" i="1"/>
  <c r="J211" i="1" s="1"/>
  <c r="K15" i="1"/>
  <c r="K210" i="1" s="1"/>
  <c r="J15" i="1"/>
  <c r="J210" i="1" s="1"/>
  <c r="F15" i="1"/>
  <c r="F210" i="1" s="1"/>
  <c r="D15" i="1"/>
  <c r="D210" i="1" s="1"/>
  <c r="C15" i="1"/>
  <c r="C210" i="1" s="1"/>
  <c r="K14" i="1"/>
  <c r="K17" i="1" s="1"/>
  <c r="K212" i="1" s="1"/>
  <c r="J14" i="1"/>
  <c r="J209" i="1" s="1"/>
  <c r="F14" i="1"/>
  <c r="F209" i="1" s="1"/>
  <c r="D14" i="1"/>
  <c r="D209" i="1" s="1"/>
  <c r="C14" i="1"/>
  <c r="K13" i="1"/>
  <c r="K208" i="1" s="1"/>
  <c r="J13" i="1"/>
  <c r="J208" i="1" s="1"/>
  <c r="F13" i="1"/>
  <c r="F208" i="1" s="1"/>
  <c r="D13" i="1"/>
  <c r="D208" i="1" s="1"/>
  <c r="C13" i="1"/>
  <c r="C208" i="1" s="1"/>
  <c r="K12" i="1"/>
  <c r="K207" i="1" s="1"/>
  <c r="J12" i="1"/>
  <c r="J207" i="1" s="1"/>
  <c r="F12" i="1"/>
  <c r="F207" i="1" s="1"/>
  <c r="D12" i="1"/>
  <c r="D207" i="1" s="1"/>
  <c r="C12" i="1"/>
  <c r="K11" i="1"/>
  <c r="K206" i="1" s="1"/>
  <c r="J11" i="1"/>
  <c r="J206" i="1" s="1"/>
  <c r="F11" i="1"/>
  <c r="F206" i="1" s="1"/>
  <c r="D11" i="1"/>
  <c r="D206" i="1" s="1"/>
  <c r="C11" i="1"/>
  <c r="C206" i="1" s="1"/>
  <c r="K10" i="1"/>
  <c r="D42" i="1" s="1"/>
  <c r="D239" i="1" s="1"/>
  <c r="J10" i="1"/>
  <c r="J205" i="1" s="1"/>
  <c r="F10" i="1"/>
  <c r="F205" i="1" s="1"/>
  <c r="D10" i="1"/>
  <c r="D205" i="1" s="1"/>
  <c r="C10" i="1"/>
  <c r="C18" i="1" s="1"/>
  <c r="C213" i="1" s="1"/>
  <c r="G7" i="1"/>
  <c r="G202" i="1" s="1"/>
  <c r="C7" i="1"/>
  <c r="C202" i="1" s="1"/>
  <c r="G6" i="1"/>
  <c r="G201" i="1" s="1"/>
  <c r="C6" i="1"/>
  <c r="C5" i="1"/>
  <c r="E2" i="1"/>
  <c r="B195" i="1" s="1"/>
  <c r="E1" i="1"/>
  <c r="B194" i="1" s="1"/>
  <c r="E13" i="2" l="1"/>
  <c r="E208" i="2" s="1"/>
  <c r="C36" i="2"/>
  <c r="C35" i="2"/>
  <c r="C34" i="2"/>
  <c r="D211" i="2"/>
  <c r="E15" i="2"/>
  <c r="E210" i="2" s="1"/>
  <c r="E11" i="2"/>
  <c r="E12" i="2"/>
  <c r="E207" i="2" s="1"/>
  <c r="C222" i="2"/>
  <c r="G23" i="2"/>
  <c r="G218" i="2" s="1"/>
  <c r="G19" i="2"/>
  <c r="F222" i="2"/>
  <c r="G25" i="2"/>
  <c r="G220" i="2" s="1"/>
  <c r="G26" i="2"/>
  <c r="G221" i="2" s="1"/>
  <c r="G22" i="2"/>
  <c r="G217" i="2" s="1"/>
  <c r="G21" i="2"/>
  <c r="G216" i="2" s="1"/>
  <c r="G24" i="2"/>
  <c r="G219" i="2" s="1"/>
  <c r="C16" i="2"/>
  <c r="K26" i="2"/>
  <c r="K221" i="2" s="1"/>
  <c r="D18" i="2"/>
  <c r="D213" i="2" s="1"/>
  <c r="K19" i="2"/>
  <c r="K214" i="2" s="1"/>
  <c r="D27" i="2"/>
  <c r="J28" i="2"/>
  <c r="J223" i="2" s="1"/>
  <c r="C32" i="2"/>
  <c r="C227" i="2" s="1"/>
  <c r="J33" i="2"/>
  <c r="J228" i="2" s="1"/>
  <c r="J38" i="2"/>
  <c r="C42" i="2"/>
  <c r="C239" i="2" s="1"/>
  <c r="C46" i="2"/>
  <c r="C200" i="2"/>
  <c r="C205" i="2"/>
  <c r="K205" i="2"/>
  <c r="I206" i="2"/>
  <c r="C207" i="2"/>
  <c r="I208" i="2"/>
  <c r="C209" i="2"/>
  <c r="K209" i="2"/>
  <c r="I210" i="2"/>
  <c r="C215" i="2"/>
  <c r="C217" i="2"/>
  <c r="C219" i="2"/>
  <c r="I220" i="2"/>
  <c r="C221" i="2"/>
  <c r="I224" i="2"/>
  <c r="J229" i="2"/>
  <c r="J231" i="2"/>
  <c r="B233" i="2"/>
  <c r="J239" i="2"/>
  <c r="D240" i="2"/>
  <c r="J241" i="2"/>
  <c r="D242" i="2"/>
  <c r="F16" i="2"/>
  <c r="J17" i="2"/>
  <c r="J26" i="2"/>
  <c r="K28" i="2"/>
  <c r="K223" i="2" s="1"/>
  <c r="D32" i="2"/>
  <c r="D227" i="2" s="1"/>
  <c r="K33" i="2"/>
  <c r="K228" i="2" s="1"/>
  <c r="K38" i="2"/>
  <c r="D46" i="2"/>
  <c r="D243" i="2" s="1"/>
  <c r="C201" i="2"/>
  <c r="D207" i="2"/>
  <c r="F218" i="2"/>
  <c r="I230" i="2"/>
  <c r="I232" i="2"/>
  <c r="I234" i="2"/>
  <c r="I238" i="2"/>
  <c r="I240" i="2"/>
  <c r="I207" i="2"/>
  <c r="I209" i="2"/>
  <c r="I211" i="2"/>
  <c r="C214" i="2"/>
  <c r="I215" i="2"/>
  <c r="I217" i="2"/>
  <c r="I219" i="2"/>
  <c r="I236" i="2"/>
  <c r="J19" i="2"/>
  <c r="J214" i="2" s="1"/>
  <c r="G23" i="1"/>
  <c r="G218" i="1" s="1"/>
  <c r="G24" i="1"/>
  <c r="G219" i="1" s="1"/>
  <c r="F222" i="1"/>
  <c r="G25" i="1"/>
  <c r="G220" i="1" s="1"/>
  <c r="G26" i="1"/>
  <c r="G221" i="1" s="1"/>
  <c r="G22" i="1"/>
  <c r="G217" i="1" s="1"/>
  <c r="G21" i="1"/>
  <c r="G216" i="1" s="1"/>
  <c r="G19" i="1"/>
  <c r="D37" i="1"/>
  <c r="D232" i="1" s="1"/>
  <c r="C222" i="1"/>
  <c r="D18" i="1"/>
  <c r="D213" i="1" s="1"/>
  <c r="K19" i="1"/>
  <c r="K214" i="1" s="1"/>
  <c r="D27" i="1"/>
  <c r="J28" i="1"/>
  <c r="J223" i="1" s="1"/>
  <c r="C32" i="1"/>
  <c r="C227" i="1" s="1"/>
  <c r="J33" i="1"/>
  <c r="J228" i="1" s="1"/>
  <c r="J38" i="1"/>
  <c r="C42" i="1"/>
  <c r="C239" i="1" s="1"/>
  <c r="C46" i="1"/>
  <c r="C200" i="1"/>
  <c r="C205" i="1"/>
  <c r="K205" i="1"/>
  <c r="I206" i="1"/>
  <c r="C207" i="1"/>
  <c r="I208" i="1"/>
  <c r="C209" i="1"/>
  <c r="K209" i="1"/>
  <c r="I210" i="1"/>
  <c r="C215" i="1"/>
  <c r="C217" i="1"/>
  <c r="K217" i="1"/>
  <c r="I218" i="1"/>
  <c r="C219" i="1"/>
  <c r="I220" i="1"/>
  <c r="C221" i="1"/>
  <c r="I224" i="1"/>
  <c r="J229" i="1"/>
  <c r="J231" i="1"/>
  <c r="B233" i="1"/>
  <c r="J239" i="1"/>
  <c r="D240" i="1"/>
  <c r="B241" i="1"/>
  <c r="J241" i="1"/>
  <c r="F16" i="1"/>
  <c r="J17" i="1"/>
  <c r="F18" i="1"/>
  <c r="F213" i="1" s="1"/>
  <c r="J26" i="1"/>
  <c r="K28" i="1"/>
  <c r="K223" i="1" s="1"/>
  <c r="D32" i="1"/>
  <c r="D227" i="1" s="1"/>
  <c r="K33" i="1"/>
  <c r="K228" i="1" s="1"/>
  <c r="K38" i="1"/>
  <c r="C201" i="1"/>
  <c r="F218" i="1"/>
  <c r="I230" i="1"/>
  <c r="I232" i="1"/>
  <c r="I234" i="1"/>
  <c r="I238" i="1"/>
  <c r="I240" i="1"/>
  <c r="C16" i="1"/>
  <c r="I207" i="1"/>
  <c r="I209" i="1"/>
  <c r="I211" i="1"/>
  <c r="C214" i="1"/>
  <c r="I215" i="1"/>
  <c r="I217" i="1"/>
  <c r="I219" i="1"/>
  <c r="I236" i="1"/>
  <c r="B240" i="1"/>
  <c r="B242" i="1"/>
  <c r="D16" i="1"/>
  <c r="J19" i="1"/>
  <c r="J214" i="1" s="1"/>
  <c r="J212" i="2" l="1"/>
  <c r="I212" i="2"/>
  <c r="C243" i="2"/>
  <c r="B243" i="2"/>
  <c r="C229" i="2"/>
  <c r="B210" i="2"/>
  <c r="F211" i="2"/>
  <c r="D36" i="2"/>
  <c r="D231" i="2" s="1"/>
  <c r="D35" i="2"/>
  <c r="D230" i="2" s="1"/>
  <c r="D34" i="2"/>
  <c r="D229" i="2" s="1"/>
  <c r="G15" i="2"/>
  <c r="G210" i="2" s="1"/>
  <c r="G11" i="2"/>
  <c r="G12" i="2"/>
  <c r="F29" i="2"/>
  <c r="F224" i="2" s="1"/>
  <c r="G13" i="2"/>
  <c r="C230" i="2"/>
  <c r="I233" i="2"/>
  <c r="J233" i="2"/>
  <c r="J40" i="2"/>
  <c r="D222" i="2"/>
  <c r="E25" i="2"/>
  <c r="E26" i="2"/>
  <c r="E22" i="2"/>
  <c r="E21" i="2"/>
  <c r="E23" i="2"/>
  <c r="E24" i="2"/>
  <c r="E19" i="2"/>
  <c r="C29" i="2"/>
  <c r="C211" i="2"/>
  <c r="G214" i="2"/>
  <c r="C37" i="2"/>
  <c r="D29" i="2"/>
  <c r="E14" i="2"/>
  <c r="C231" i="2"/>
  <c r="B231" i="2"/>
  <c r="K233" i="2"/>
  <c r="K40" i="2"/>
  <c r="J221" i="2"/>
  <c r="I221" i="2"/>
  <c r="G20" i="2"/>
  <c r="G215" i="2" s="1"/>
  <c r="E206" i="2"/>
  <c r="E16" i="2"/>
  <c r="E211" i="2" s="1"/>
  <c r="J212" i="1"/>
  <c r="I212" i="1"/>
  <c r="I233" i="1"/>
  <c r="J233" i="1"/>
  <c r="J40" i="1"/>
  <c r="D222" i="1"/>
  <c r="E25" i="1"/>
  <c r="E26" i="1"/>
  <c r="E22" i="1"/>
  <c r="E23" i="1"/>
  <c r="E21" i="1"/>
  <c r="E24" i="1"/>
  <c r="E19" i="1"/>
  <c r="F211" i="1"/>
  <c r="D36" i="1"/>
  <c r="D231" i="1" s="1"/>
  <c r="D35" i="1"/>
  <c r="D230" i="1" s="1"/>
  <c r="D34" i="1"/>
  <c r="D229" i="1" s="1"/>
  <c r="D33" i="1"/>
  <c r="D228" i="1" s="1"/>
  <c r="G15" i="1"/>
  <c r="G210" i="1" s="1"/>
  <c r="G11" i="1"/>
  <c r="G14" i="1" s="1"/>
  <c r="G209" i="1" s="1"/>
  <c r="F29" i="1"/>
  <c r="F224" i="1" s="1"/>
  <c r="G13" i="1"/>
  <c r="G208" i="1" s="1"/>
  <c r="G12" i="1"/>
  <c r="G207" i="1" s="1"/>
  <c r="K233" i="1"/>
  <c r="K40" i="1"/>
  <c r="J221" i="1"/>
  <c r="I221" i="1"/>
  <c r="C243" i="1"/>
  <c r="B243" i="1"/>
  <c r="G214" i="1"/>
  <c r="G20" i="1"/>
  <c r="G215" i="1" s="1"/>
  <c r="E13" i="1"/>
  <c r="C36" i="1"/>
  <c r="C35" i="1"/>
  <c r="C34" i="1"/>
  <c r="C33" i="1"/>
  <c r="D211" i="1"/>
  <c r="E15" i="1"/>
  <c r="E11" i="1"/>
  <c r="D29" i="1"/>
  <c r="D224" i="1" s="1"/>
  <c r="E12" i="1"/>
  <c r="C29" i="1"/>
  <c r="C211" i="1"/>
  <c r="C37" i="1"/>
  <c r="C232" i="2" l="1"/>
  <c r="B232" i="2"/>
  <c r="E219" i="2"/>
  <c r="B219" i="2"/>
  <c r="E221" i="2"/>
  <c r="B221" i="2"/>
  <c r="I235" i="2"/>
  <c r="J42" i="2"/>
  <c r="J235" i="2"/>
  <c r="G207" i="2"/>
  <c r="B207" i="2"/>
  <c r="C224" i="2"/>
  <c r="B224" i="2"/>
  <c r="E218" i="2"/>
  <c r="B218" i="2"/>
  <c r="E20" i="2"/>
  <c r="G14" i="2"/>
  <c r="G209" i="2" s="1"/>
  <c r="G206" i="2"/>
  <c r="G16" i="2"/>
  <c r="G211" i="2" s="1"/>
  <c r="B206" i="2"/>
  <c r="B229" i="2"/>
  <c r="K42" i="2"/>
  <c r="K237" i="2" s="1"/>
  <c r="K235" i="2"/>
  <c r="E209" i="2"/>
  <c r="B209" i="2"/>
  <c r="E216" i="2"/>
  <c r="B216" i="2"/>
  <c r="E220" i="2"/>
  <c r="B220" i="2"/>
  <c r="G208" i="2"/>
  <c r="B208" i="2"/>
  <c r="D224" i="2"/>
  <c r="C33" i="2"/>
  <c r="G27" i="2"/>
  <c r="G222" i="2" s="1"/>
  <c r="E27" i="2"/>
  <c r="E214" i="2"/>
  <c r="B214" i="2"/>
  <c r="E217" i="2"/>
  <c r="B217" i="2"/>
  <c r="B230" i="2"/>
  <c r="D33" i="2"/>
  <c r="D228" i="2" s="1"/>
  <c r="E206" i="1"/>
  <c r="B206" i="1"/>
  <c r="E208" i="1"/>
  <c r="B208" i="1"/>
  <c r="E220" i="1"/>
  <c r="B220" i="1"/>
  <c r="E214" i="1"/>
  <c r="B214" i="1"/>
  <c r="E217" i="1"/>
  <c r="B217" i="1"/>
  <c r="E219" i="1"/>
  <c r="B219" i="1"/>
  <c r="I235" i="1"/>
  <c r="J42" i="1"/>
  <c r="J235" i="1"/>
  <c r="E14" i="1"/>
  <c r="C231" i="1"/>
  <c r="B231" i="1"/>
  <c r="G27" i="1"/>
  <c r="G222" i="1" s="1"/>
  <c r="E216" i="1"/>
  <c r="B216" i="1"/>
  <c r="E20" i="1"/>
  <c r="C228" i="1"/>
  <c r="B228" i="1"/>
  <c r="C224" i="1"/>
  <c r="B224" i="1"/>
  <c r="C229" i="1"/>
  <c r="B229" i="1"/>
  <c r="K42" i="1"/>
  <c r="K237" i="1" s="1"/>
  <c r="K235" i="1"/>
  <c r="E218" i="1"/>
  <c r="B218" i="1"/>
  <c r="E210" i="1"/>
  <c r="B210" i="1"/>
  <c r="C232" i="1"/>
  <c r="B232" i="1"/>
  <c r="E207" i="1"/>
  <c r="B207" i="1"/>
  <c r="C230" i="1"/>
  <c r="B230" i="1"/>
  <c r="G206" i="1"/>
  <c r="G16" i="1"/>
  <c r="G211" i="1" s="1"/>
  <c r="E221" i="1"/>
  <c r="B221" i="1"/>
  <c r="C228" i="2" l="1"/>
  <c r="B228" i="2"/>
  <c r="B211" i="2"/>
  <c r="E222" i="2"/>
  <c r="B222" i="2"/>
  <c r="E215" i="2"/>
  <c r="B215" i="2"/>
  <c r="J237" i="2"/>
  <c r="I237" i="2"/>
  <c r="E209" i="1"/>
  <c r="B209" i="1"/>
  <c r="E16" i="1"/>
  <c r="E215" i="1"/>
  <c r="B215" i="1"/>
  <c r="J237" i="1"/>
  <c r="I237" i="1"/>
  <c r="E27" i="1"/>
  <c r="E222" i="1" l="1"/>
  <c r="B222" i="1"/>
  <c r="E211" i="1"/>
  <c r="B211" i="1"/>
</calcChain>
</file>

<file path=xl/comments1.xml><?xml version="1.0" encoding="utf-8"?>
<comments xmlns="http://schemas.openxmlformats.org/spreadsheetml/2006/main">
  <authors>
    <author>Sarit Cohen</author>
    <author>nehamap</author>
  </authors>
  <commentList>
    <comment ref="E1" authorId="0">
      <text>
        <r>
          <rPr>
            <b/>
            <sz val="12"/>
            <color indexed="81"/>
            <rFont val="Tahoma"/>
            <family val="2"/>
          </rPr>
          <t xml:space="preserve">
הדוח לתושב יוצא כחלק מההעברה לקובץ הוורד 
</t>
        </r>
        <r>
          <rPr>
            <b/>
            <u/>
            <sz val="12"/>
            <color indexed="81"/>
            <rFont val="Tahoma"/>
            <family val="2"/>
          </rPr>
          <t>אבל:</t>
        </r>
        <r>
          <rPr>
            <b/>
            <sz val="12"/>
            <color indexed="81"/>
            <rFont val="Tahoma"/>
            <family val="2"/>
          </rPr>
          <t xml:space="preserve">
אין לצרף אותו לדוח הכספי אלא לדוח המפורט בלבד!! </t>
        </r>
      </text>
    </comment>
    <comment ref="B20" authorId="1">
      <text>
        <r>
          <rPr>
            <sz val="11"/>
            <color indexed="81"/>
            <rFont val="Arial (Hebrew)"/>
            <family val="2"/>
            <charset val="177"/>
          </rPr>
          <t xml:space="preserve">כולל את הסעיפים הבאים:
1. פעולות כלליות
2. הנחות בארנונה
3. חד פעמיות
4. רכישת מים
5. מענק שנתקבל להקטנת גרעון מצטבר
</t>
        </r>
      </text>
    </comment>
    <comment ref="B48" authorId="1">
      <text>
        <r>
          <rPr>
            <b/>
            <sz val="11"/>
            <color indexed="81"/>
            <rFont val="Arial (Hebrew)"/>
            <family val="2"/>
            <charset val="177"/>
          </rPr>
          <t>ניתן לשנות את התאריך בגליון נתונים משותפים</t>
        </r>
      </text>
    </comment>
  </commentList>
</comments>
</file>

<file path=xl/comments2.xml><?xml version="1.0" encoding="utf-8"?>
<comments xmlns="http://schemas.openxmlformats.org/spreadsheetml/2006/main">
  <authors>
    <author>Sarit Cohen</author>
    <author>nehamap</author>
  </authors>
  <commentList>
    <comment ref="E1" authorId="0">
      <text>
        <r>
          <rPr>
            <b/>
            <sz val="12"/>
            <color indexed="81"/>
            <rFont val="Tahoma"/>
            <family val="2"/>
          </rPr>
          <t xml:space="preserve">
הדוח לתושב יוצא כחלק מההעברה לקובץ הוורד 
</t>
        </r>
        <r>
          <rPr>
            <b/>
            <u/>
            <sz val="12"/>
            <color indexed="81"/>
            <rFont val="Tahoma"/>
            <family val="2"/>
          </rPr>
          <t>אבל:</t>
        </r>
        <r>
          <rPr>
            <b/>
            <sz val="12"/>
            <color indexed="81"/>
            <rFont val="Tahoma"/>
            <family val="2"/>
          </rPr>
          <t xml:space="preserve">
אין לצרף אותו לדוח הכספי אלא לדוח המפורט בלבד!! </t>
        </r>
      </text>
    </comment>
    <comment ref="B20" authorId="1">
      <text>
        <r>
          <rPr>
            <sz val="11"/>
            <color indexed="81"/>
            <rFont val="Arial (Hebrew)"/>
            <family val="2"/>
            <charset val="177"/>
          </rPr>
          <t xml:space="preserve">כולל את הסעיפים הבאים:
1. פעולות כלליות
2. הנחות בארנונה
3. חד פעמיות
4. רכישת מים
5. מענק שנתקבל להקטנת גרעון מצטבר
</t>
        </r>
      </text>
    </comment>
    <comment ref="B48" authorId="1">
      <text>
        <r>
          <rPr>
            <b/>
            <sz val="11"/>
            <color indexed="81"/>
            <rFont val="Arial (Hebrew)"/>
            <family val="2"/>
            <charset val="177"/>
          </rPr>
          <t>ניתן לשנות את התאריך בגליון נתונים משותפים</t>
        </r>
      </text>
    </comment>
  </commentList>
</comments>
</file>

<file path=xl/sharedStrings.xml><?xml version="1.0" encoding="utf-8"?>
<sst xmlns="http://schemas.openxmlformats.org/spreadsheetml/2006/main" count="144" uniqueCount="66">
  <si>
    <t>(באלפי ש"ח)</t>
  </si>
  <si>
    <t>הצג תוכן ענינים</t>
  </si>
  <si>
    <t>מספר תושבים שנה קודמת</t>
  </si>
  <si>
    <t>מספר תושבים *</t>
  </si>
  <si>
    <t>שטח שיפוט (דונם)</t>
  </si>
  <si>
    <t xml:space="preserve">מספר משקי בית </t>
  </si>
  <si>
    <t xml:space="preserve">דירוג סוציואקונומי </t>
  </si>
  <si>
    <t>נתוני ביצוע התקציב הרגיל</t>
  </si>
  <si>
    <t>מאזן</t>
  </si>
  <si>
    <t>הכנסות</t>
  </si>
  <si>
    <t>%</t>
  </si>
  <si>
    <t>נכסים</t>
  </si>
  <si>
    <t xml:space="preserve">הכנסות עצמיות </t>
  </si>
  <si>
    <t>רכוש שוטף</t>
  </si>
  <si>
    <t>השתת' משרד החינוך</t>
  </si>
  <si>
    <t>השקעות</t>
  </si>
  <si>
    <t xml:space="preserve">השתת' משרד הרווחה </t>
  </si>
  <si>
    <t>השקעות לכיסוי קרנות מתוקצבות ואחרות</t>
  </si>
  <si>
    <t>השתת' משרדי ממשלה אחרים וחלף הכנסות עצמיות מארנונה</t>
  </si>
  <si>
    <t>גרעון מצטבר בתקציב הרגיל</t>
  </si>
  <si>
    <t>מענקים ומלוות</t>
  </si>
  <si>
    <t>גרעון סופי בתב"ר</t>
  </si>
  <si>
    <t>סה"כ</t>
  </si>
  <si>
    <t>גרעונות זמניים נטו בתב"ר</t>
  </si>
  <si>
    <t>הוצאות</t>
  </si>
  <si>
    <t>משכורות ושכר כללי</t>
  </si>
  <si>
    <t>התחייבויות</t>
  </si>
  <si>
    <t>פעולות אחרות</t>
  </si>
  <si>
    <t>התחייבויות שוטפות</t>
  </si>
  <si>
    <t>שכר חינוך</t>
  </si>
  <si>
    <t>פעולות חינוך</t>
  </si>
  <si>
    <t>קרן לעבודות פיתוח ואחרות</t>
  </si>
  <si>
    <t>שכר רווחה</t>
  </si>
  <si>
    <t>קרנות מתוקצבות</t>
  </si>
  <si>
    <t>פעולות רווחה</t>
  </si>
  <si>
    <t>עודף מצטבר בתקציב הרגיל</t>
  </si>
  <si>
    <t>מימון</t>
  </si>
  <si>
    <t>עודפים זמניים נטו בתב"ר</t>
  </si>
  <si>
    <t xml:space="preserve">פרעון מלוות </t>
  </si>
  <si>
    <t>עומס מלוות לסוף שנה</t>
  </si>
  <si>
    <t>דוח גביה וחייבים - ארנונה</t>
  </si>
  <si>
    <t>% הגרעון השוטף  מההכנסה</t>
  </si>
  <si>
    <t>% הגרעון הנצבר מההכנסה</t>
  </si>
  <si>
    <t>יתרת חוב לתחילת השנה</t>
  </si>
  <si>
    <t>% עומס המלוות מההכנסה</t>
  </si>
  <si>
    <t>חיוב השנה</t>
  </si>
  <si>
    <t>% סך ההתחייבויות מההכנסה</t>
  </si>
  <si>
    <t>הנחות ופטורים שניתנו</t>
  </si>
  <si>
    <t>הוצאה ממוצעת לנפש בש"ח</t>
  </si>
  <si>
    <t>העברה לחובות מסופקים וחובות למחיקה</t>
  </si>
  <si>
    <t>מספר משרות ממוצע</t>
  </si>
  <si>
    <t>סך לגביה</t>
  </si>
  <si>
    <t>גביה בשנת הדוח</t>
  </si>
  <si>
    <t>יתרת חוב לסוף השנה</t>
  </si>
  <si>
    <t>נתוני ביצוע  התקציב הבלתי רגיל</t>
  </si>
  <si>
    <t>חובות מסופקים וחובות למחיקה</t>
  </si>
  <si>
    <t>סה"כ יתרות לסוף שנה כולל חובות מסופקים</t>
  </si>
  <si>
    <t>עודף (גרעון) זמני לתחילת השנה</t>
  </si>
  <si>
    <t>אחוז גביה מהפיגורים (*)</t>
  </si>
  <si>
    <t>תקבולים במהלך השנה</t>
  </si>
  <si>
    <t>אחוז גביה מהשוטף (*)</t>
  </si>
  <si>
    <t>תשלומים במהלך השנה</t>
  </si>
  <si>
    <t>יחס הגביה לחוב הכולל (*)</t>
  </si>
  <si>
    <t>עודף (גרעון) זמני לסוף השנה</t>
  </si>
  <si>
    <t>ממוצע ארנונה למגורים למ"ר</t>
  </si>
  <si>
    <t>(*) השיעורים מחושבים ללא חובות מסופקים וחובות למחיקה.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</si>
</sst>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* #,##0_ ;[Red]* _ \(#,##0\);\ \ &quot;          --  &quot;"/>
    <numFmt numFmtId="165" formatCode="#,##0;\(#,##0\)"/>
    <numFmt numFmtId="166" formatCode="#,##0.00%;\(#,##0.00\)%"/>
    <numFmt numFmtId="167" formatCode="#,##0.0;[Black]\(#,##0.0\);\-\-"/>
    <numFmt numFmtId="168" formatCode="#,##0;[Black]\(#,##0\);\-\-"/>
    <numFmt numFmtId="169" formatCode="[Black]* #,##0_ ;[Black]* _ \(#,##0\);\ \ &quot;          --  &quot;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1"/>
      <name val="Arial (Hebrew)"/>
      <charset val="177"/>
    </font>
    <font>
      <b/>
      <sz val="12"/>
      <color indexed="9"/>
      <name val="Arial"/>
      <family val="2"/>
    </font>
    <font>
      <sz val="10"/>
      <name val="Arial"/>
      <family val="2"/>
      <charset val="177"/>
    </font>
    <font>
      <b/>
      <u/>
      <sz val="12"/>
      <color indexed="9"/>
      <name val="Arial"/>
      <family val="2"/>
    </font>
    <font>
      <u/>
      <sz val="12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77"/>
    </font>
    <font>
      <b/>
      <u/>
      <sz val="10"/>
      <name val="Arial"/>
      <family val="2"/>
    </font>
    <font>
      <u/>
      <sz val="1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  <font>
      <sz val="11"/>
      <color indexed="81"/>
      <name val="Arial (Hebrew)"/>
      <family val="2"/>
      <charset val="177"/>
    </font>
    <font>
      <b/>
      <sz val="11"/>
      <color indexed="81"/>
      <name val="Arial (Hebrew)"/>
      <family val="2"/>
      <charset val="177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ck">
        <color indexed="56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54"/>
      </right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54"/>
      </right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64"/>
      </bottom>
      <diagonal/>
    </border>
    <border>
      <left/>
      <right style="thin">
        <color indexed="39"/>
      </right>
      <top style="thin">
        <color indexed="64"/>
      </top>
      <bottom style="double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double">
        <color indexed="64"/>
      </bottom>
      <diagonal/>
    </border>
    <border>
      <left style="thin">
        <color indexed="39"/>
      </left>
      <right style="thin">
        <color indexed="5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54"/>
      </right>
      <top style="double">
        <color indexed="64"/>
      </top>
      <bottom/>
      <diagonal/>
    </border>
    <border>
      <left/>
      <right style="thin">
        <color indexed="39"/>
      </right>
      <top style="double">
        <color indexed="64"/>
      </top>
      <bottom/>
      <diagonal/>
    </border>
    <border>
      <left style="thin">
        <color indexed="39"/>
      </left>
      <right style="thin">
        <color indexed="54"/>
      </right>
      <top style="double">
        <color indexed="64"/>
      </top>
      <bottom/>
      <diagonal/>
    </border>
    <border>
      <left/>
      <right style="thin">
        <color indexed="39"/>
      </right>
      <top/>
      <bottom style="double">
        <color indexed="64"/>
      </bottom>
      <diagonal/>
    </border>
    <border>
      <left style="thin">
        <color indexed="3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 style="thin">
        <color indexed="39"/>
      </right>
      <top style="thin">
        <color indexed="64"/>
      </top>
      <bottom/>
      <diagonal/>
    </border>
    <border>
      <left style="thin">
        <color indexed="39"/>
      </left>
      <right style="thin">
        <color indexed="54"/>
      </right>
      <top style="thin">
        <color indexed="64"/>
      </top>
      <bottom/>
      <diagonal/>
    </border>
    <border>
      <left/>
      <right style="thin">
        <color indexed="39"/>
      </right>
      <top style="thin">
        <color indexed="39"/>
      </top>
      <bottom style="thin">
        <color indexed="54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54"/>
      </bottom>
      <diagonal/>
    </border>
    <border>
      <left/>
      <right/>
      <top style="thick">
        <color indexed="5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/>
    <xf numFmtId="0" fontId="3" fillId="2" borderId="0" xfId="2" applyFont="1" applyFill="1" applyAlignment="1" applyProtection="1">
      <alignment horizontal="right" vertical="center" readingOrder="2"/>
    </xf>
    <xf numFmtId="164" fontId="3" fillId="2" borderId="0" xfId="3" applyFont="1" applyFill="1" applyAlignment="1" applyProtection="1">
      <alignment horizontal="right" vertical="center" wrapText="1" readingOrder="2"/>
    </xf>
    <xf numFmtId="164" fontId="3" fillId="2" borderId="0" xfId="3" applyFont="1" applyFill="1" applyAlignment="1" applyProtection="1">
      <alignment horizontal="right" vertical="center" readingOrder="2"/>
    </xf>
    <xf numFmtId="164" fontId="5" fillId="2" borderId="0" xfId="3" applyFont="1" applyFill="1" applyAlignment="1" applyProtection="1">
      <alignment horizontal="center" vertical="center" readingOrder="2"/>
    </xf>
    <xf numFmtId="0" fontId="6" fillId="2" borderId="0" xfId="2" applyFont="1" applyFill="1" applyAlignment="1" applyProtection="1">
      <alignment horizontal="right" vertical="center" readingOrder="2"/>
    </xf>
    <xf numFmtId="0" fontId="6" fillId="3" borderId="1" xfId="2" applyFont="1" applyFill="1" applyBorder="1" applyAlignment="1" applyProtection="1">
      <alignment horizontal="right" vertical="center" readingOrder="2"/>
    </xf>
    <xf numFmtId="0" fontId="6" fillId="3" borderId="0" xfId="2" applyFont="1" applyFill="1" applyAlignment="1" applyProtection="1">
      <alignment horizontal="right" vertical="center" readingOrder="2"/>
    </xf>
    <xf numFmtId="164" fontId="7" fillId="2" borderId="0" xfId="3" applyFont="1" applyFill="1" applyAlignment="1" applyProtection="1">
      <alignment horizontal="right" vertical="center" wrapText="1" readingOrder="2"/>
    </xf>
    <xf numFmtId="164" fontId="8" fillId="2" borderId="0" xfId="3" applyFont="1" applyFill="1" applyAlignment="1" applyProtection="1">
      <alignment horizontal="right" vertical="center" readingOrder="2"/>
    </xf>
    <xf numFmtId="0" fontId="3" fillId="2" borderId="0" xfId="2" applyFont="1" applyFill="1" applyAlignment="1" applyProtection="1">
      <alignment horizontal="right" vertical="center" wrapText="1" readingOrder="2"/>
    </xf>
    <xf numFmtId="0" fontId="5" fillId="2" borderId="0" xfId="2" applyFont="1" applyFill="1" applyAlignment="1" applyProtection="1">
      <alignment horizontal="center" vertical="center" wrapText="1" readingOrder="2"/>
    </xf>
    <xf numFmtId="0" fontId="10" fillId="4" borderId="0" xfId="4" applyFont="1" applyFill="1" applyBorder="1" applyAlignment="1" applyProtection="1">
      <alignment horizontal="right" vertical="top" readingOrder="2"/>
    </xf>
    <xf numFmtId="0" fontId="6" fillId="4" borderId="0" xfId="2" applyFont="1" applyFill="1" applyAlignment="1" applyProtection="1">
      <alignment horizontal="right" vertical="center" wrapText="1" readingOrder="2"/>
    </xf>
    <xf numFmtId="0" fontId="6" fillId="4" borderId="0" xfId="2" applyFont="1" applyFill="1" applyAlignment="1" applyProtection="1">
      <alignment horizontal="right" vertical="center" readingOrder="2"/>
    </xf>
    <xf numFmtId="0" fontId="11" fillId="4" borderId="0" xfId="2" applyFont="1" applyFill="1" applyBorder="1" applyAlignment="1" applyProtection="1">
      <alignment horizontal="right" vertical="center" wrapText="1" readingOrder="2"/>
    </xf>
    <xf numFmtId="165" fontId="2" fillId="4" borderId="0" xfId="2" applyNumberFormat="1" applyFont="1" applyFill="1" applyBorder="1" applyAlignment="1" applyProtection="1">
      <alignment horizontal="right" vertical="center" readingOrder="2"/>
    </xf>
    <xf numFmtId="0" fontId="2" fillId="4" borderId="0" xfId="2" applyFont="1" applyFill="1" applyBorder="1" applyAlignment="1" applyProtection="1">
      <alignment horizontal="right" vertical="center" readingOrder="2"/>
    </xf>
    <xf numFmtId="0" fontId="6" fillId="4" borderId="0" xfId="2" applyFont="1" applyFill="1" applyBorder="1" applyAlignment="1" applyProtection="1">
      <alignment horizontal="right" vertical="center" readingOrder="2"/>
    </xf>
    <xf numFmtId="0" fontId="11" fillId="4" borderId="0" xfId="2" applyFont="1" applyFill="1" applyBorder="1" applyAlignment="1" applyProtection="1">
      <alignment horizontal="right" vertical="center" readingOrder="2"/>
    </xf>
    <xf numFmtId="165" fontId="12" fillId="4" borderId="0" xfId="2" applyNumberFormat="1" applyFont="1" applyFill="1" applyBorder="1" applyAlignment="1" applyProtection="1">
      <alignment horizontal="right" vertical="center" readingOrder="2"/>
    </xf>
    <xf numFmtId="165" fontId="12" fillId="4" borderId="0" xfId="2" applyNumberFormat="1" applyFont="1" applyFill="1" applyBorder="1" applyAlignment="1" applyProtection="1">
      <alignment horizontal="right" vertical="center" shrinkToFit="1" readingOrder="2"/>
    </xf>
    <xf numFmtId="0" fontId="12" fillId="4" borderId="0" xfId="2" applyFont="1" applyFill="1" applyAlignment="1" applyProtection="1">
      <alignment horizontal="right" vertical="center" wrapText="1" readingOrder="2"/>
    </xf>
    <xf numFmtId="0" fontId="12" fillId="4" borderId="0" xfId="2" applyFont="1" applyFill="1" applyAlignment="1" applyProtection="1">
      <alignment horizontal="right" vertical="center" readingOrder="2"/>
    </xf>
    <xf numFmtId="0" fontId="13" fillId="4" borderId="0" xfId="2" applyFont="1" applyFill="1" applyAlignment="1" applyProtection="1">
      <alignment horizontal="right" vertical="center" readingOrder="2"/>
    </xf>
    <xf numFmtId="0" fontId="14" fillId="4" borderId="0" xfId="2" applyFont="1" applyFill="1" applyBorder="1" applyAlignment="1" applyProtection="1">
      <alignment horizontal="right" vertical="center" wrapText="1" readingOrder="2"/>
    </xf>
    <xf numFmtId="0" fontId="15" fillId="4" borderId="0" xfId="2" applyFont="1" applyFill="1" applyAlignment="1" applyProtection="1">
      <alignment horizontal="right" vertical="center" readingOrder="2"/>
    </xf>
    <xf numFmtId="0" fontId="14" fillId="4" borderId="0" xfId="2" applyFont="1" applyFill="1" applyBorder="1" applyAlignment="1" applyProtection="1">
      <alignment horizontal="right" vertical="center" readingOrder="2"/>
    </xf>
    <xf numFmtId="0" fontId="16" fillId="5" borderId="2" xfId="2" applyFont="1" applyFill="1" applyBorder="1" applyAlignment="1" applyProtection="1">
      <alignment horizontal="right" vertical="center" wrapText="1" readingOrder="2"/>
    </xf>
    <xf numFmtId="0" fontId="16" fillId="5" borderId="0" xfId="2" applyFont="1" applyFill="1" applyBorder="1" applyAlignment="1" applyProtection="1">
      <alignment horizontal="right" vertical="center" readingOrder="2"/>
    </xf>
    <xf numFmtId="0" fontId="16" fillId="5" borderId="3" xfId="2" applyFont="1" applyFill="1" applyBorder="1" applyAlignment="1" applyProtection="1">
      <alignment horizontal="right" vertical="center" readingOrder="2"/>
    </xf>
    <xf numFmtId="0" fontId="10" fillId="4" borderId="0" xfId="2" applyFont="1" applyFill="1" applyAlignment="1" applyProtection="1">
      <alignment horizontal="right" vertical="center" readingOrder="2"/>
    </xf>
    <xf numFmtId="164" fontId="16" fillId="5" borderId="2" xfId="3" applyFont="1" applyFill="1" applyBorder="1" applyAlignment="1" applyProtection="1">
      <alignment horizontal="right" vertical="center" readingOrder="2"/>
    </xf>
    <xf numFmtId="0" fontId="16" fillId="5" borderId="0" xfId="2" quotePrefix="1" applyFont="1" applyFill="1" applyBorder="1" applyAlignment="1" applyProtection="1">
      <alignment horizontal="right" vertical="center" readingOrder="2"/>
    </xf>
    <xf numFmtId="0" fontId="16" fillId="5" borderId="3" xfId="2" quotePrefix="1" applyFont="1" applyFill="1" applyBorder="1" applyAlignment="1" applyProtection="1">
      <alignment horizontal="right" vertical="center" readingOrder="2"/>
    </xf>
    <xf numFmtId="0" fontId="2" fillId="4" borderId="0" xfId="2" applyFont="1" applyFill="1" applyAlignment="1" applyProtection="1">
      <alignment horizontal="right" vertical="center" readingOrder="2"/>
    </xf>
    <xf numFmtId="0" fontId="2" fillId="6" borderId="2" xfId="2" applyFont="1" applyFill="1" applyBorder="1" applyAlignment="1" applyProtection="1">
      <alignment horizontal="right" vertical="center" wrapText="1" readingOrder="2"/>
    </xf>
    <xf numFmtId="165" fontId="2" fillId="7" borderId="4" xfId="2" applyNumberFormat="1" applyFont="1" applyFill="1" applyBorder="1" applyAlignment="1" applyProtection="1">
      <alignment horizontal="right" vertical="center" shrinkToFit="1" readingOrder="2"/>
    </xf>
    <xf numFmtId="165" fontId="2" fillId="7" borderId="5" xfId="2" applyNumberFormat="1" applyFont="1" applyFill="1" applyBorder="1" applyAlignment="1" applyProtection="1">
      <alignment horizontal="right" vertical="center" shrinkToFit="1" readingOrder="2"/>
    </xf>
    <xf numFmtId="166" fontId="2" fillId="7" borderId="5" xfId="2" applyNumberFormat="1" applyFont="1" applyFill="1" applyBorder="1" applyAlignment="1" applyProtection="1">
      <alignment horizontal="right" vertical="center" shrinkToFit="1" readingOrder="1"/>
    </xf>
    <xf numFmtId="166" fontId="2" fillId="7" borderId="6" xfId="2" applyNumberFormat="1" applyFont="1" applyFill="1" applyBorder="1" applyAlignment="1" applyProtection="1">
      <alignment horizontal="right" vertical="center" shrinkToFit="1" readingOrder="1"/>
    </xf>
    <xf numFmtId="0" fontId="2" fillId="6" borderId="2" xfId="2" applyFont="1" applyFill="1" applyBorder="1" applyAlignment="1" applyProtection="1">
      <alignment horizontal="right" vertical="center" readingOrder="2"/>
    </xf>
    <xf numFmtId="165" fontId="2" fillId="7" borderId="6" xfId="2" applyNumberFormat="1" applyFont="1" applyFill="1" applyBorder="1" applyAlignment="1" applyProtection="1">
      <alignment horizontal="right" vertical="center" shrinkToFit="1" readingOrder="2"/>
    </xf>
    <xf numFmtId="165" fontId="2" fillId="7" borderId="7" xfId="2" applyNumberFormat="1" applyFont="1" applyFill="1" applyBorder="1" applyAlignment="1" applyProtection="1">
      <alignment horizontal="right" vertical="center" shrinkToFit="1" readingOrder="2"/>
    </xf>
    <xf numFmtId="165" fontId="2" fillId="7" borderId="8" xfId="2" applyNumberFormat="1" applyFont="1" applyFill="1" applyBorder="1" applyAlignment="1" applyProtection="1">
      <alignment horizontal="right" vertical="center" shrinkToFit="1" readingOrder="2"/>
    </xf>
    <xf numFmtId="166" fontId="2" fillId="7" borderId="8" xfId="2" applyNumberFormat="1" applyFont="1" applyFill="1" applyBorder="1" applyAlignment="1" applyProtection="1">
      <alignment horizontal="right" vertical="center" shrinkToFit="1" readingOrder="1"/>
    </xf>
    <xf numFmtId="166" fontId="2" fillId="7" borderId="9" xfId="2" applyNumberFormat="1" applyFont="1" applyFill="1" applyBorder="1" applyAlignment="1" applyProtection="1">
      <alignment horizontal="right" vertical="center" shrinkToFit="1" readingOrder="1"/>
    </xf>
    <xf numFmtId="165" fontId="2" fillId="7" borderId="9" xfId="2" applyNumberFormat="1" applyFont="1" applyFill="1" applyBorder="1" applyAlignment="1" applyProtection="1">
      <alignment horizontal="right" vertical="center" shrinkToFit="1" readingOrder="2"/>
    </xf>
    <xf numFmtId="0" fontId="2" fillId="6" borderId="2" xfId="2" applyFont="1" applyFill="1" applyBorder="1" applyAlignment="1" applyProtection="1">
      <alignment horizontal="right" vertical="center" shrinkToFit="1" readingOrder="2"/>
    </xf>
    <xf numFmtId="165" fontId="2" fillId="7" borderId="10" xfId="2" applyNumberFormat="1" applyFont="1" applyFill="1" applyBorder="1" applyAlignment="1" applyProtection="1">
      <alignment horizontal="right" vertical="center" shrinkToFit="1" readingOrder="2"/>
    </xf>
    <xf numFmtId="165" fontId="2" fillId="7" borderId="11" xfId="2" applyNumberFormat="1" applyFont="1" applyFill="1" applyBorder="1" applyAlignment="1" applyProtection="1">
      <alignment horizontal="right" vertical="center" shrinkToFit="1" readingOrder="2"/>
    </xf>
    <xf numFmtId="0" fontId="2" fillId="6" borderId="2" xfId="2" applyFont="1" applyFill="1" applyBorder="1" applyAlignment="1" applyProtection="1">
      <alignment horizontal="right" vertical="center" wrapText="1" shrinkToFit="1" readingOrder="2"/>
    </xf>
    <xf numFmtId="165" fontId="2" fillId="7" borderId="12" xfId="2" applyNumberFormat="1" applyFont="1" applyFill="1" applyBorder="1" applyAlignment="1" applyProtection="1">
      <alignment horizontal="right" vertical="center" shrinkToFit="1" readingOrder="2"/>
    </xf>
    <xf numFmtId="165" fontId="2" fillId="7" borderId="13" xfId="2" applyNumberFormat="1" applyFont="1" applyFill="1" applyBorder="1" applyAlignment="1" applyProtection="1">
      <alignment horizontal="right" vertical="center" shrinkToFit="1" readingOrder="2"/>
    </xf>
    <xf numFmtId="166" fontId="2" fillId="7" borderId="13" xfId="2" applyNumberFormat="1" applyFont="1" applyFill="1" applyBorder="1" applyAlignment="1" applyProtection="1">
      <alignment horizontal="right" vertical="center" shrinkToFit="1" readingOrder="1"/>
    </xf>
    <xf numFmtId="166" fontId="2" fillId="7" borderId="14" xfId="2" applyNumberFormat="1" applyFont="1" applyFill="1" applyBorder="1" applyAlignment="1" applyProtection="1">
      <alignment horizontal="right" vertical="center" shrinkToFit="1" readingOrder="1"/>
    </xf>
    <xf numFmtId="0" fontId="11" fillId="6" borderId="2" xfId="2" applyFont="1" applyFill="1" applyBorder="1" applyAlignment="1" applyProtection="1">
      <alignment horizontal="right" vertical="center" wrapText="1" readingOrder="2"/>
    </xf>
    <xf numFmtId="165" fontId="2" fillId="8" borderId="15" xfId="2" applyNumberFormat="1" applyFont="1" applyFill="1" applyBorder="1" applyAlignment="1" applyProtection="1">
      <alignment horizontal="right" vertical="center" shrinkToFit="1" readingOrder="2"/>
    </xf>
    <xf numFmtId="165" fontId="2" fillId="8" borderId="16" xfId="2" applyNumberFormat="1" applyFont="1" applyFill="1" applyBorder="1" applyAlignment="1" applyProtection="1">
      <alignment horizontal="right" vertical="center" shrinkToFit="1" readingOrder="2"/>
    </xf>
    <xf numFmtId="166" fontId="2" fillId="8" borderId="16" xfId="2" applyNumberFormat="1" applyFont="1" applyFill="1" applyBorder="1" applyAlignment="1" applyProtection="1">
      <alignment horizontal="right" vertical="center" shrinkToFit="1" readingOrder="1"/>
    </xf>
    <xf numFmtId="166" fontId="2" fillId="8" borderId="17" xfId="2" applyNumberFormat="1" applyFont="1" applyFill="1" applyBorder="1" applyAlignment="1" applyProtection="1">
      <alignment horizontal="right" vertical="center" shrinkToFit="1" readingOrder="1"/>
    </xf>
    <xf numFmtId="0" fontId="2" fillId="6" borderId="18" xfId="2" applyFont="1" applyFill="1" applyBorder="1" applyAlignment="1" applyProtection="1">
      <alignment horizontal="right" vertical="center" readingOrder="2"/>
    </xf>
    <xf numFmtId="0" fontId="2" fillId="6" borderId="19" xfId="2" applyFont="1" applyFill="1" applyBorder="1" applyAlignment="1" applyProtection="1">
      <alignment horizontal="right" vertical="center" readingOrder="2"/>
    </xf>
    <xf numFmtId="165" fontId="2" fillId="8" borderId="17" xfId="2" applyNumberFormat="1" applyFont="1" applyFill="1" applyBorder="1" applyAlignment="1" applyProtection="1">
      <alignment horizontal="right" vertical="center" shrinkToFit="1" readingOrder="2"/>
    </xf>
    <xf numFmtId="165" fontId="2" fillId="6" borderId="20" xfId="2" applyNumberFormat="1" applyFont="1" applyFill="1" applyBorder="1" applyAlignment="1" applyProtection="1">
      <alignment horizontal="right" vertical="center" shrinkToFit="1" readingOrder="2"/>
    </xf>
    <xf numFmtId="165" fontId="2" fillId="6" borderId="21" xfId="2" applyNumberFormat="1" applyFont="1" applyFill="1" applyBorder="1" applyAlignment="1" applyProtection="1">
      <alignment horizontal="right" vertical="center" shrinkToFit="1" readingOrder="2"/>
    </xf>
    <xf numFmtId="0" fontId="11" fillId="6" borderId="2" xfId="2" applyFont="1" applyFill="1" applyBorder="1" applyAlignment="1" applyProtection="1">
      <alignment horizontal="right" vertical="center" readingOrder="2"/>
    </xf>
    <xf numFmtId="0" fontId="2" fillId="6" borderId="0" xfId="2" applyFont="1" applyFill="1" applyBorder="1" applyAlignment="1" applyProtection="1">
      <alignment horizontal="right" vertical="center" readingOrder="2"/>
    </xf>
    <xf numFmtId="0" fontId="2" fillId="6" borderId="3" xfId="2" applyFont="1" applyFill="1" applyBorder="1" applyAlignment="1" applyProtection="1">
      <alignment horizontal="right" vertical="center" readingOrder="2"/>
    </xf>
    <xf numFmtId="167" fontId="2" fillId="6" borderId="0" xfId="2" applyNumberFormat="1" applyFont="1" applyFill="1" applyBorder="1" applyAlignment="1" applyProtection="1">
      <alignment horizontal="right" vertical="center" readingOrder="2"/>
    </xf>
    <xf numFmtId="167" fontId="2" fillId="6" borderId="3" xfId="2" applyNumberFormat="1" applyFont="1" applyFill="1" applyBorder="1" applyAlignment="1" applyProtection="1">
      <alignment horizontal="right" vertical="center" readingOrder="2"/>
    </xf>
    <xf numFmtId="0" fontId="17" fillId="5" borderId="2" xfId="2" applyFont="1" applyFill="1" applyBorder="1" applyAlignment="1" applyProtection="1">
      <alignment horizontal="right" vertical="center" readingOrder="2"/>
    </xf>
    <xf numFmtId="165" fontId="2" fillId="7" borderId="22" xfId="2" applyNumberFormat="1" applyFont="1" applyFill="1" applyBorder="1" applyAlignment="1" applyProtection="1">
      <alignment horizontal="right" vertical="center" shrinkToFit="1" readingOrder="2"/>
    </xf>
    <xf numFmtId="165" fontId="2" fillId="7" borderId="23" xfId="2" applyNumberFormat="1" applyFont="1" applyFill="1" applyBorder="1" applyAlignment="1" applyProtection="1">
      <alignment horizontal="right" vertical="center" shrinkToFit="1" readingOrder="2"/>
    </xf>
    <xf numFmtId="165" fontId="2" fillId="6" borderId="0" xfId="2" applyNumberFormat="1" applyFont="1" applyFill="1" applyBorder="1" applyAlignment="1" applyProtection="1">
      <alignment horizontal="right" vertical="center" shrinkToFit="1" readingOrder="2"/>
    </xf>
    <xf numFmtId="165" fontId="2" fillId="7" borderId="24" xfId="2" applyNumberFormat="1" applyFont="1" applyFill="1" applyBorder="1" applyAlignment="1" applyProtection="1">
      <alignment horizontal="right" vertical="center" shrinkToFit="1" readingOrder="2"/>
    </xf>
    <xf numFmtId="165" fontId="11" fillId="7" borderId="25" xfId="2" applyNumberFormat="1" applyFont="1" applyFill="1" applyBorder="1" applyAlignment="1" applyProtection="1">
      <alignment horizontal="right" vertical="center" shrinkToFit="1" readingOrder="2"/>
    </xf>
    <xf numFmtId="165" fontId="11" fillId="7" borderId="26" xfId="2" applyNumberFormat="1" applyFont="1" applyFill="1" applyBorder="1" applyAlignment="1" applyProtection="1">
      <alignment horizontal="right" vertical="center" shrinkToFit="1" readingOrder="2"/>
    </xf>
    <xf numFmtId="0" fontId="2" fillId="6" borderId="27" xfId="2" applyFont="1" applyFill="1" applyBorder="1" applyAlignment="1" applyProtection="1">
      <alignment horizontal="right" vertical="center" wrapText="1" readingOrder="2"/>
    </xf>
    <xf numFmtId="167" fontId="2" fillId="6" borderId="28" xfId="2" applyNumberFormat="1" applyFont="1" applyFill="1" applyBorder="1" applyAlignment="1" applyProtection="1">
      <alignment horizontal="right" vertical="center" readingOrder="2"/>
    </xf>
    <xf numFmtId="0" fontId="2" fillId="6" borderId="29" xfId="2" applyFont="1" applyFill="1" applyBorder="1" applyAlignment="1" applyProtection="1">
      <alignment horizontal="right" vertical="center" readingOrder="2"/>
    </xf>
    <xf numFmtId="0" fontId="2" fillId="6" borderId="27" xfId="2" applyFont="1" applyFill="1" applyBorder="1" applyAlignment="1" applyProtection="1">
      <alignment horizontal="right" vertical="center" readingOrder="2"/>
    </xf>
    <xf numFmtId="0" fontId="2" fillId="6" borderId="28" xfId="2" applyFont="1" applyFill="1" applyBorder="1" applyAlignment="1" applyProtection="1">
      <alignment horizontal="right" vertical="center" readingOrder="2"/>
    </xf>
    <xf numFmtId="0" fontId="17" fillId="5" borderId="2" xfId="2" applyFont="1" applyFill="1" applyBorder="1" applyAlignment="1" applyProtection="1">
      <alignment horizontal="right" vertical="center" wrapText="1" readingOrder="2"/>
    </xf>
    <xf numFmtId="166" fontId="2" fillId="7" borderId="4" xfId="1" applyNumberFormat="1" applyFont="1" applyFill="1" applyBorder="1" applyAlignment="1" applyProtection="1">
      <alignment horizontal="right" vertical="center" shrinkToFit="1" readingOrder="1"/>
    </xf>
    <xf numFmtId="166" fontId="2" fillId="7" borderId="6" xfId="1" applyNumberFormat="1" applyFont="1" applyFill="1" applyBorder="1" applyAlignment="1" applyProtection="1">
      <alignment horizontal="right" vertical="center" shrinkToFit="1" readingOrder="1"/>
    </xf>
    <xf numFmtId="166" fontId="2" fillId="7" borderId="7" xfId="1" applyNumberFormat="1" applyFont="1" applyFill="1" applyBorder="1" applyAlignment="1" applyProtection="1">
      <alignment horizontal="right" vertical="center" shrinkToFit="1" readingOrder="1"/>
    </xf>
    <xf numFmtId="166" fontId="2" fillId="7" borderId="9" xfId="1" applyNumberFormat="1" applyFont="1" applyFill="1" applyBorder="1" applyAlignment="1" applyProtection="1">
      <alignment horizontal="right" vertical="center" shrinkToFit="1" readingOrder="1"/>
    </xf>
    <xf numFmtId="165" fontId="11" fillId="8" borderId="30" xfId="2" applyNumberFormat="1" applyFont="1" applyFill="1" applyBorder="1" applyAlignment="1" applyProtection="1">
      <alignment horizontal="right" vertical="center" shrinkToFit="1" readingOrder="2"/>
    </xf>
    <xf numFmtId="165" fontId="11" fillId="8" borderId="31" xfId="2" applyNumberFormat="1" applyFont="1" applyFill="1" applyBorder="1" applyAlignment="1" applyProtection="1">
      <alignment horizontal="right" vertical="center" shrinkToFit="1" readingOrder="2"/>
    </xf>
    <xf numFmtId="0" fontId="11" fillId="4" borderId="0" xfId="2" applyFont="1" applyFill="1" applyBorder="1" applyAlignment="1" applyProtection="1">
      <alignment horizontal="right" vertical="center" wrapText="1" readingOrder="2"/>
    </xf>
    <xf numFmtId="0" fontId="11" fillId="6" borderId="2" xfId="2" applyFont="1" applyFill="1" applyBorder="1" applyAlignment="1" applyProtection="1">
      <alignment horizontal="right" vertical="center" shrinkToFit="1" readingOrder="2"/>
    </xf>
    <xf numFmtId="165" fontId="11" fillId="8" borderId="15" xfId="2" applyNumberFormat="1" applyFont="1" applyFill="1" applyBorder="1" applyAlignment="1" applyProtection="1">
      <alignment horizontal="right" vertical="center" shrinkToFit="1" readingOrder="2"/>
    </xf>
    <xf numFmtId="165" fontId="11" fillId="8" borderId="17" xfId="2" applyNumberFormat="1" applyFont="1" applyFill="1" applyBorder="1" applyAlignment="1" applyProtection="1">
      <alignment horizontal="right" vertical="center" shrinkToFit="1" readingOrder="2"/>
    </xf>
    <xf numFmtId="9" fontId="2" fillId="7" borderId="7" xfId="1" applyNumberFormat="1" applyFont="1" applyFill="1" applyBorder="1" applyAlignment="1" applyProtection="1">
      <alignment horizontal="right" vertical="center" shrinkToFit="1" readingOrder="2"/>
    </xf>
    <xf numFmtId="9" fontId="2" fillId="7" borderId="9" xfId="1" applyNumberFormat="1" applyFont="1" applyFill="1" applyBorder="1" applyAlignment="1" applyProtection="1">
      <alignment horizontal="right" vertical="center" shrinkToFit="1" readingOrder="2"/>
    </xf>
    <xf numFmtId="168" fontId="2" fillId="4" borderId="0" xfId="2" applyNumberFormat="1" applyFont="1" applyFill="1" applyAlignment="1" applyProtection="1">
      <alignment horizontal="right" vertical="center" readingOrder="2"/>
    </xf>
    <xf numFmtId="165" fontId="2" fillId="7" borderId="32" xfId="2" applyNumberFormat="1" applyFont="1" applyFill="1" applyBorder="1" applyAlignment="1" applyProtection="1">
      <alignment horizontal="right" vertical="center" shrinkToFit="1" readingOrder="2"/>
    </xf>
    <xf numFmtId="165" fontId="2" fillId="7" borderId="33" xfId="2" applyNumberFormat="1" applyFont="1" applyFill="1" applyBorder="1" applyAlignment="1" applyProtection="1">
      <alignment horizontal="right" vertical="center" shrinkToFit="1" readingOrder="2"/>
    </xf>
    <xf numFmtId="0" fontId="6" fillId="6" borderId="27" xfId="2" applyFont="1" applyFill="1" applyBorder="1" applyAlignment="1" applyProtection="1">
      <alignment horizontal="right" vertical="center" readingOrder="2"/>
    </xf>
    <xf numFmtId="169" fontId="13" fillId="6" borderId="28" xfId="2" applyNumberFormat="1" applyFont="1" applyFill="1" applyBorder="1" applyAlignment="1" applyProtection="1">
      <alignment horizontal="right" vertical="center" readingOrder="2"/>
    </xf>
    <xf numFmtId="0" fontId="6" fillId="6" borderId="29" xfId="2" applyFont="1" applyFill="1" applyBorder="1" applyAlignment="1" applyProtection="1">
      <alignment horizontal="right" vertical="center" readingOrder="2"/>
    </xf>
    <xf numFmtId="1" fontId="11" fillId="4" borderId="0" xfId="2" applyNumberFormat="1" applyFont="1" applyFill="1" applyBorder="1" applyAlignment="1" applyProtection="1">
      <alignment horizontal="right" vertical="center" readingOrder="2"/>
    </xf>
    <xf numFmtId="1" fontId="11" fillId="4" borderId="0" xfId="2" applyNumberFormat="1" applyFont="1" applyFill="1" applyBorder="1" applyAlignment="1" applyProtection="1">
      <alignment vertical="center" readingOrder="2"/>
    </xf>
    <xf numFmtId="0" fontId="6" fillId="4" borderId="0" xfId="2" applyFont="1" applyFill="1" applyBorder="1" applyAlignment="1" applyProtection="1">
      <alignment horizontal="right" vertical="center" wrapText="1" readingOrder="2"/>
    </xf>
    <xf numFmtId="1" fontId="11" fillId="4" borderId="0" xfId="2" applyNumberFormat="1" applyFont="1" applyFill="1" applyBorder="1" applyAlignment="1" applyProtection="1">
      <alignment horizontal="right" vertical="center" readingOrder="2"/>
    </xf>
    <xf numFmtId="0" fontId="0" fillId="0" borderId="0" xfId="0" applyAlignment="1">
      <alignment horizontal="right" vertical="center" readingOrder="2"/>
    </xf>
    <xf numFmtId="0" fontId="6" fillId="3" borderId="34" xfId="2" applyFont="1" applyFill="1" applyBorder="1" applyAlignment="1" applyProtection="1">
      <alignment horizontal="right" vertical="center" readingOrder="2"/>
    </xf>
    <xf numFmtId="0" fontId="6" fillId="3" borderId="34" xfId="2" applyFont="1" applyFill="1" applyBorder="1" applyAlignment="1" applyProtection="1">
      <alignment horizontal="right" vertical="center" wrapText="1" readingOrder="2"/>
    </xf>
    <xf numFmtId="0" fontId="6" fillId="3" borderId="0" xfId="2" applyFont="1" applyFill="1" applyAlignment="1" applyProtection="1">
      <alignment horizontal="right" vertical="center" wrapText="1" readingOrder="2"/>
    </xf>
    <xf numFmtId="164" fontId="18" fillId="3" borderId="0" xfId="2" applyNumberFormat="1" applyFont="1" applyFill="1" applyAlignment="1" applyProtection="1">
      <alignment horizontal="center" vertical="center" wrapText="1" readingOrder="2"/>
    </xf>
    <xf numFmtId="0" fontId="18" fillId="3" borderId="0" xfId="2" applyFont="1" applyFill="1" applyAlignment="1" applyProtection="1">
      <alignment horizontal="center" vertical="center" wrapText="1" readingOrder="2"/>
    </xf>
    <xf numFmtId="0" fontId="19" fillId="3" borderId="0" xfId="2" applyFont="1" applyFill="1" applyBorder="1" applyAlignment="1" applyProtection="1">
      <alignment horizontal="right" vertical="center" wrapText="1" readingOrder="2"/>
    </xf>
    <xf numFmtId="165" fontId="12" fillId="3" borderId="0" xfId="2" applyNumberFormat="1" applyFont="1" applyFill="1" applyBorder="1" applyAlignment="1" applyProtection="1">
      <alignment horizontal="right" vertical="center" readingOrder="2"/>
    </xf>
    <xf numFmtId="0" fontId="12" fillId="3" borderId="0" xfId="2" applyFont="1" applyFill="1" applyBorder="1" applyAlignment="1" applyProtection="1">
      <alignment horizontal="right" vertical="center" readingOrder="2"/>
    </xf>
    <xf numFmtId="0" fontId="12" fillId="3" borderId="0" xfId="2" applyFont="1" applyFill="1" applyAlignment="1" applyProtection="1">
      <alignment horizontal="right" vertical="center" wrapText="1" readingOrder="2"/>
    </xf>
    <xf numFmtId="0" fontId="19" fillId="3" borderId="0" xfId="2" applyFont="1" applyFill="1" applyBorder="1" applyAlignment="1" applyProtection="1">
      <alignment horizontal="right" vertical="center" readingOrder="2"/>
    </xf>
    <xf numFmtId="165" fontId="12" fillId="3" borderId="0" xfId="2" applyNumberFormat="1" applyFont="1" applyFill="1" applyBorder="1" applyAlignment="1" applyProtection="1">
      <alignment horizontal="right" vertical="center" shrinkToFit="1" readingOrder="2"/>
    </xf>
    <xf numFmtId="0" fontId="12" fillId="3" borderId="0" xfId="2" applyFont="1" applyFill="1" applyAlignment="1" applyProtection="1">
      <alignment horizontal="right" vertical="center" readingOrder="2"/>
    </xf>
    <xf numFmtId="0" fontId="20" fillId="3" borderId="0" xfId="2" applyFont="1" applyFill="1" applyBorder="1" applyAlignment="1" applyProtection="1">
      <alignment horizontal="right" vertical="center" wrapText="1" readingOrder="2"/>
    </xf>
    <xf numFmtId="0" fontId="15" fillId="3" borderId="0" xfId="2" applyFont="1" applyFill="1" applyAlignment="1" applyProtection="1">
      <alignment horizontal="right" vertical="center" readingOrder="2"/>
    </xf>
    <xf numFmtId="0" fontId="20" fillId="3" borderId="0" xfId="2" applyFont="1" applyFill="1" applyBorder="1" applyAlignment="1" applyProtection="1">
      <alignment horizontal="right" vertical="center" readingOrder="2"/>
    </xf>
    <xf numFmtId="0" fontId="19" fillId="3" borderId="35" xfId="2" applyFont="1" applyFill="1" applyBorder="1" applyAlignment="1" applyProtection="1">
      <alignment horizontal="right" vertical="center" wrapText="1" readingOrder="2"/>
    </xf>
    <xf numFmtId="0" fontId="19" fillId="3" borderId="36" xfId="2" applyFont="1" applyFill="1" applyBorder="1" applyAlignment="1" applyProtection="1">
      <alignment horizontal="right" vertical="center" readingOrder="2"/>
    </xf>
    <xf numFmtId="0" fontId="19" fillId="3" borderId="37" xfId="2" applyFont="1" applyFill="1" applyBorder="1" applyAlignment="1" applyProtection="1">
      <alignment horizontal="right" vertical="center" readingOrder="2"/>
    </xf>
    <xf numFmtId="164" fontId="19" fillId="3" borderId="35" xfId="3" applyFont="1" applyFill="1" applyBorder="1" applyAlignment="1" applyProtection="1">
      <alignment horizontal="right" vertical="center" readingOrder="2"/>
    </xf>
    <xf numFmtId="0" fontId="19" fillId="3" borderId="36" xfId="2" quotePrefix="1" applyFont="1" applyFill="1" applyBorder="1" applyAlignment="1" applyProtection="1">
      <alignment horizontal="right" vertical="center" readingOrder="2"/>
    </xf>
    <xf numFmtId="0" fontId="19" fillId="3" borderId="37" xfId="2" quotePrefix="1" applyFont="1" applyFill="1" applyBorder="1" applyAlignment="1" applyProtection="1">
      <alignment horizontal="right" vertical="center" readingOrder="2"/>
    </xf>
    <xf numFmtId="0" fontId="12" fillId="3" borderId="38" xfId="2" applyFont="1" applyFill="1" applyBorder="1" applyAlignment="1" applyProtection="1">
      <alignment horizontal="right" vertical="center" wrapText="1" readingOrder="2"/>
    </xf>
    <xf numFmtId="165" fontId="12" fillId="3" borderId="39" xfId="2" applyNumberFormat="1" applyFont="1" applyFill="1" applyBorder="1" applyAlignment="1" applyProtection="1">
      <alignment horizontal="right" vertical="center" shrinkToFit="1" readingOrder="2"/>
    </xf>
    <xf numFmtId="10" fontId="12" fillId="3" borderId="39" xfId="2" applyNumberFormat="1" applyFont="1" applyFill="1" applyBorder="1" applyAlignment="1" applyProtection="1">
      <alignment horizontal="right" vertical="center" shrinkToFit="1" readingOrder="1"/>
    </xf>
    <xf numFmtId="10" fontId="12" fillId="3" borderId="40" xfId="2" applyNumberFormat="1" applyFont="1" applyFill="1" applyBorder="1" applyAlignment="1" applyProtection="1">
      <alignment horizontal="right" vertical="center" shrinkToFit="1" readingOrder="1"/>
    </xf>
    <xf numFmtId="0" fontId="12" fillId="3" borderId="38" xfId="2" applyFont="1" applyFill="1" applyBorder="1" applyAlignment="1" applyProtection="1">
      <alignment horizontal="right" vertical="center" readingOrder="2"/>
    </xf>
    <xf numFmtId="165" fontId="12" fillId="3" borderId="40" xfId="2" applyNumberFormat="1" applyFont="1" applyFill="1" applyBorder="1" applyAlignment="1" applyProtection="1">
      <alignment horizontal="right" vertical="center" shrinkToFit="1" readingOrder="2"/>
    </xf>
    <xf numFmtId="165" fontId="12" fillId="3" borderId="0" xfId="2" applyNumberFormat="1" applyFont="1" applyFill="1" applyBorder="1" applyAlignment="1" applyProtection="1">
      <alignment horizontal="right" vertical="center" shrinkToFit="1" readingOrder="2"/>
    </xf>
    <xf numFmtId="166" fontId="12" fillId="3" borderId="0" xfId="2" applyNumberFormat="1" applyFont="1" applyFill="1" applyBorder="1" applyAlignment="1" applyProtection="1">
      <alignment horizontal="right" vertical="center" shrinkToFit="1" readingOrder="1"/>
    </xf>
    <xf numFmtId="166" fontId="12" fillId="3" borderId="41" xfId="2" applyNumberFormat="1" applyFont="1" applyFill="1" applyBorder="1" applyAlignment="1" applyProtection="1">
      <alignment horizontal="right" vertical="center" shrinkToFit="1" readingOrder="1"/>
    </xf>
    <xf numFmtId="165" fontId="12" fillId="3" borderId="41" xfId="2" applyNumberFormat="1" applyFont="1" applyFill="1" applyBorder="1" applyAlignment="1" applyProtection="1">
      <alignment horizontal="right" vertical="center" shrinkToFit="1" readingOrder="2"/>
    </xf>
    <xf numFmtId="0" fontId="12" fillId="3" borderId="38" xfId="2" applyFont="1" applyFill="1" applyBorder="1" applyAlignment="1" applyProtection="1">
      <alignment horizontal="right" vertical="center" shrinkToFit="1" readingOrder="2"/>
    </xf>
    <xf numFmtId="165" fontId="12" fillId="3" borderId="42" xfId="2" applyNumberFormat="1" applyFont="1" applyFill="1" applyBorder="1" applyAlignment="1" applyProtection="1">
      <alignment horizontal="right" vertical="center" shrinkToFit="1" readingOrder="2"/>
    </xf>
    <xf numFmtId="166" fontId="12" fillId="3" borderId="42" xfId="2" applyNumberFormat="1" applyFont="1" applyFill="1" applyBorder="1" applyAlignment="1" applyProtection="1">
      <alignment horizontal="right" vertical="center" shrinkToFit="1" readingOrder="1"/>
    </xf>
    <xf numFmtId="166" fontId="12" fillId="3" borderId="43" xfId="2" applyNumberFormat="1" applyFont="1" applyFill="1" applyBorder="1" applyAlignment="1" applyProtection="1">
      <alignment horizontal="right" vertical="center" shrinkToFit="1" readingOrder="1"/>
    </xf>
    <xf numFmtId="165" fontId="12" fillId="3" borderId="44" xfId="2" applyNumberFormat="1" applyFont="1" applyFill="1" applyBorder="1" applyAlignment="1" applyProtection="1">
      <alignment horizontal="right" vertical="center" shrinkToFit="1" readingOrder="2"/>
    </xf>
    <xf numFmtId="166" fontId="12" fillId="3" borderId="44" xfId="2" applyNumberFormat="1" applyFont="1" applyFill="1" applyBorder="1" applyAlignment="1" applyProtection="1">
      <alignment horizontal="right" vertical="center" shrinkToFit="1" readingOrder="1"/>
    </xf>
    <xf numFmtId="166" fontId="12" fillId="3" borderId="45" xfId="2" applyNumberFormat="1" applyFont="1" applyFill="1" applyBorder="1" applyAlignment="1" applyProtection="1">
      <alignment horizontal="right" vertical="center" shrinkToFit="1" readingOrder="1"/>
    </xf>
    <xf numFmtId="0" fontId="12" fillId="3" borderId="18" xfId="2" applyFont="1" applyFill="1" applyBorder="1" applyAlignment="1" applyProtection="1">
      <alignment horizontal="right" vertical="center" readingOrder="2"/>
    </xf>
    <xf numFmtId="0" fontId="12" fillId="3" borderId="46" xfId="2" applyFont="1" applyFill="1" applyBorder="1" applyAlignment="1" applyProtection="1">
      <alignment horizontal="right" vertical="center" readingOrder="2"/>
    </xf>
    <xf numFmtId="165" fontId="12" fillId="3" borderId="45" xfId="2" applyNumberFormat="1" applyFont="1" applyFill="1" applyBorder="1" applyAlignment="1" applyProtection="1">
      <alignment horizontal="right" vertical="center" shrinkToFit="1" readingOrder="2"/>
    </xf>
    <xf numFmtId="165" fontId="12" fillId="3" borderId="18" xfId="2" applyNumberFormat="1" applyFont="1" applyFill="1" applyBorder="1" applyAlignment="1" applyProtection="1">
      <alignment horizontal="right" vertical="center" shrinkToFit="1" readingOrder="2"/>
    </xf>
    <xf numFmtId="165" fontId="12" fillId="3" borderId="46" xfId="2" applyNumberFormat="1" applyFont="1" applyFill="1" applyBorder="1" applyAlignment="1" applyProtection="1">
      <alignment horizontal="right" vertical="center" shrinkToFit="1" readingOrder="2"/>
    </xf>
    <xf numFmtId="166" fontId="12" fillId="3" borderId="39" xfId="2" applyNumberFormat="1" applyFont="1" applyFill="1" applyBorder="1" applyAlignment="1" applyProtection="1">
      <alignment horizontal="right" vertical="center" shrinkToFit="1" readingOrder="1"/>
    </xf>
    <xf numFmtId="166" fontId="12" fillId="3" borderId="40" xfId="2" applyNumberFormat="1" applyFont="1" applyFill="1" applyBorder="1" applyAlignment="1" applyProtection="1">
      <alignment horizontal="right" vertical="center" shrinkToFit="1" readingOrder="1"/>
    </xf>
    <xf numFmtId="0" fontId="12" fillId="3" borderId="41" xfId="2" applyFont="1" applyFill="1" applyBorder="1" applyAlignment="1" applyProtection="1">
      <alignment horizontal="right" vertical="center" readingOrder="2"/>
    </xf>
    <xf numFmtId="0" fontId="12" fillId="3" borderId="0" xfId="2" applyNumberFormat="1" applyFont="1" applyFill="1" applyBorder="1" applyAlignment="1" applyProtection="1">
      <alignment horizontal="right" vertical="center" readingOrder="2"/>
    </xf>
    <xf numFmtId="0" fontId="12" fillId="3" borderId="41" xfId="2" applyNumberFormat="1" applyFont="1" applyFill="1" applyBorder="1" applyAlignment="1" applyProtection="1">
      <alignment horizontal="right" vertical="center" readingOrder="2"/>
    </xf>
    <xf numFmtId="0" fontId="12" fillId="3" borderId="35" xfId="2" applyFont="1" applyFill="1" applyBorder="1" applyAlignment="1" applyProtection="1">
      <alignment horizontal="right" vertical="center" readingOrder="2"/>
    </xf>
    <xf numFmtId="165" fontId="12" fillId="3" borderId="24" xfId="2" applyNumberFormat="1" applyFont="1" applyFill="1" applyBorder="1" applyAlignment="1" applyProtection="1">
      <alignment horizontal="right" vertical="center" shrinkToFit="1" readingOrder="2"/>
    </xf>
    <xf numFmtId="165" fontId="19" fillId="3" borderId="39" xfId="2" applyNumberFormat="1" applyFont="1" applyFill="1" applyBorder="1" applyAlignment="1" applyProtection="1">
      <alignment horizontal="right" vertical="center" shrinkToFit="1" readingOrder="2"/>
    </xf>
    <xf numFmtId="165" fontId="19" fillId="3" borderId="41" xfId="2" applyNumberFormat="1" applyFont="1" applyFill="1" applyBorder="1" applyAlignment="1" applyProtection="1">
      <alignment horizontal="right" vertical="center" shrinkToFit="1" readingOrder="2"/>
    </xf>
    <xf numFmtId="0" fontId="12" fillId="3" borderId="47" xfId="2" applyNumberFormat="1" applyFont="1" applyFill="1" applyBorder="1" applyAlignment="1" applyProtection="1">
      <alignment horizontal="right" vertical="center" wrapText="1" readingOrder="2"/>
    </xf>
    <xf numFmtId="0" fontId="12" fillId="3" borderId="42" xfId="2" applyNumberFormat="1" applyFont="1" applyFill="1" applyBorder="1" applyAlignment="1" applyProtection="1">
      <alignment horizontal="right" vertical="center" readingOrder="2"/>
    </xf>
    <xf numFmtId="0" fontId="12" fillId="3" borderId="43" xfId="2" applyNumberFormat="1" applyFont="1" applyFill="1" applyBorder="1" applyAlignment="1" applyProtection="1">
      <alignment horizontal="right" vertical="center" readingOrder="2"/>
    </xf>
    <xf numFmtId="0" fontId="12" fillId="3" borderId="47" xfId="2" applyFont="1" applyFill="1" applyBorder="1" applyAlignment="1" applyProtection="1">
      <alignment horizontal="right" vertical="center" readingOrder="2"/>
    </xf>
    <xf numFmtId="0" fontId="12" fillId="3" borderId="42" xfId="2" applyFont="1" applyFill="1" applyBorder="1" applyAlignment="1" applyProtection="1">
      <alignment horizontal="right" vertical="center" readingOrder="2"/>
    </xf>
    <xf numFmtId="0" fontId="12" fillId="3" borderId="43" xfId="2" applyFont="1" applyFill="1" applyBorder="1" applyAlignment="1" applyProtection="1">
      <alignment horizontal="right" vertical="center" readingOrder="2"/>
    </xf>
    <xf numFmtId="0" fontId="12" fillId="3" borderId="0" xfId="2" applyFont="1" applyFill="1" applyAlignment="1" applyProtection="1">
      <alignment horizontal="right" vertical="center" readingOrder="2"/>
    </xf>
    <xf numFmtId="0" fontId="12" fillId="3" borderId="35" xfId="2" applyFont="1" applyFill="1" applyBorder="1" applyAlignment="1" applyProtection="1">
      <alignment horizontal="right" vertical="center" wrapText="1" readingOrder="2"/>
    </xf>
    <xf numFmtId="166" fontId="12" fillId="3" borderId="39" xfId="1" applyNumberFormat="1" applyFont="1" applyFill="1" applyBorder="1" applyAlignment="1" applyProtection="1">
      <alignment horizontal="right" vertical="center" shrinkToFit="1" readingOrder="1"/>
    </xf>
    <xf numFmtId="166" fontId="12" fillId="3" borderId="40" xfId="1" applyNumberFormat="1" applyFont="1" applyFill="1" applyBorder="1" applyAlignment="1" applyProtection="1">
      <alignment horizontal="right" vertical="center" shrinkToFit="1" readingOrder="1"/>
    </xf>
    <xf numFmtId="166" fontId="12" fillId="3" borderId="0" xfId="1" applyNumberFormat="1" applyFont="1" applyFill="1" applyBorder="1" applyAlignment="1" applyProtection="1">
      <alignment horizontal="right" vertical="center" shrinkToFit="1" readingOrder="1"/>
    </xf>
    <xf numFmtId="166" fontId="12" fillId="3" borderId="41" xfId="1" applyNumberFormat="1" applyFont="1" applyFill="1" applyBorder="1" applyAlignment="1" applyProtection="1">
      <alignment horizontal="right" vertical="center" shrinkToFit="1" readingOrder="1"/>
    </xf>
    <xf numFmtId="165" fontId="19" fillId="3" borderId="0" xfId="2" applyNumberFormat="1" applyFont="1" applyFill="1" applyBorder="1" applyAlignment="1" applyProtection="1">
      <alignment horizontal="right" vertical="center" shrinkToFit="1" readingOrder="2"/>
    </xf>
    <xf numFmtId="0" fontId="12" fillId="3" borderId="47" xfId="2" applyFont="1" applyFill="1" applyBorder="1" applyAlignment="1" applyProtection="1">
      <alignment horizontal="right" vertical="center" wrapText="1" readingOrder="2"/>
    </xf>
    <xf numFmtId="165" fontId="19" fillId="3" borderId="40" xfId="2" applyNumberFormat="1" applyFont="1" applyFill="1" applyBorder="1" applyAlignment="1" applyProtection="1">
      <alignment horizontal="right" vertical="center" shrinkToFit="1" readingOrder="2"/>
    </xf>
    <xf numFmtId="165" fontId="19" fillId="3" borderId="44" xfId="2" applyNumberFormat="1" applyFont="1" applyFill="1" applyBorder="1" applyAlignment="1" applyProtection="1">
      <alignment horizontal="right" vertical="center" shrinkToFit="1" readingOrder="2"/>
    </xf>
    <xf numFmtId="165" fontId="19" fillId="3" borderId="45" xfId="2" applyNumberFormat="1" applyFont="1" applyFill="1" applyBorder="1" applyAlignment="1" applyProtection="1">
      <alignment horizontal="right" vertical="center" shrinkToFit="1" readingOrder="2"/>
    </xf>
    <xf numFmtId="0" fontId="19" fillId="3" borderId="0" xfId="2" applyFont="1" applyFill="1" applyBorder="1" applyAlignment="1" applyProtection="1">
      <alignment horizontal="right" vertical="center" wrapText="1" readingOrder="2"/>
    </xf>
    <xf numFmtId="9" fontId="12" fillId="3" borderId="0" xfId="1" applyNumberFormat="1" applyFont="1" applyFill="1" applyBorder="1" applyAlignment="1" applyProtection="1">
      <alignment horizontal="right" vertical="center" shrinkToFit="1" readingOrder="2"/>
    </xf>
    <xf numFmtId="9" fontId="12" fillId="3" borderId="41" xfId="1" applyNumberFormat="1" applyFont="1" applyFill="1" applyBorder="1" applyAlignment="1" applyProtection="1">
      <alignment horizontal="right" vertical="center" shrinkToFit="1" readingOrder="2"/>
    </xf>
    <xf numFmtId="165" fontId="12" fillId="3" borderId="42" xfId="2" applyNumberFormat="1" applyFont="1" applyFill="1" applyBorder="1" applyAlignment="1" applyProtection="1">
      <alignment horizontal="right" vertical="center" readingOrder="2"/>
    </xf>
    <xf numFmtId="165" fontId="12" fillId="3" borderId="43" xfId="2" applyNumberFormat="1" applyFont="1" applyFill="1" applyBorder="1" applyAlignment="1" applyProtection="1">
      <alignment horizontal="right" vertical="center" readingOrder="2"/>
    </xf>
    <xf numFmtId="0" fontId="12" fillId="3" borderId="0" xfId="2" applyNumberFormat="1" applyFont="1" applyFill="1" applyAlignment="1" applyProtection="1">
      <alignment horizontal="right" vertical="center" readingOrder="2"/>
    </xf>
    <xf numFmtId="1" fontId="12" fillId="3" borderId="0" xfId="2" applyNumberFormat="1" applyFont="1" applyFill="1" applyAlignment="1" applyProtection="1">
      <alignment horizontal="right" vertical="center" readingOrder="2"/>
    </xf>
    <xf numFmtId="1" fontId="19" fillId="3" borderId="0" xfId="2" applyNumberFormat="1" applyFont="1" applyFill="1" applyBorder="1" applyAlignment="1" applyProtection="1">
      <alignment horizontal="right" vertical="center" readingOrder="2"/>
    </xf>
    <xf numFmtId="0" fontId="12" fillId="3" borderId="0" xfId="2" applyFont="1" applyFill="1" applyBorder="1" applyAlignment="1" applyProtection="1">
      <alignment horizontal="right" vertical="center" wrapText="1" readingOrder="2"/>
    </xf>
    <xf numFmtId="1" fontId="11" fillId="3" borderId="0" xfId="2" applyNumberFormat="1" applyFont="1" applyFill="1" applyBorder="1" applyAlignment="1" applyProtection="1">
      <alignment horizontal="right" vertical="center" readingOrder="2"/>
    </xf>
    <xf numFmtId="0" fontId="25" fillId="0" borderId="0" xfId="2" applyFont="1" applyFill="1" applyAlignment="1" applyProtection="1">
      <alignment horizontal="right" vertical="center" readingOrder="2"/>
    </xf>
    <xf numFmtId="164" fontId="25" fillId="0" borderId="0" xfId="3" applyFont="1" applyFill="1" applyAlignment="1" applyProtection="1">
      <alignment horizontal="right" vertical="center" wrapText="1" readingOrder="2"/>
    </xf>
    <xf numFmtId="164" fontId="25" fillId="0" borderId="0" xfId="3" applyFont="1" applyFill="1" applyAlignment="1" applyProtection="1">
      <alignment horizontal="right" vertical="center" readingOrder="2"/>
    </xf>
    <xf numFmtId="164" fontId="18" fillId="0" borderId="0" xfId="3" applyFont="1" applyFill="1" applyAlignment="1" applyProtection="1">
      <alignment horizontal="center" vertical="center" readingOrder="2"/>
    </xf>
    <xf numFmtId="0" fontId="2" fillId="0" borderId="0" xfId="2" applyFont="1" applyFill="1" applyAlignment="1" applyProtection="1">
      <alignment horizontal="right" vertical="center" readingOrder="2"/>
    </xf>
    <xf numFmtId="0" fontId="2" fillId="0" borderId="1" xfId="2" applyFont="1" applyFill="1" applyBorder="1" applyAlignment="1" applyProtection="1">
      <alignment horizontal="right" vertical="center" readingOrder="2"/>
    </xf>
    <xf numFmtId="164" fontId="26" fillId="0" borderId="0" xfId="3" applyFont="1" applyFill="1" applyAlignment="1" applyProtection="1">
      <alignment horizontal="right" vertical="center" wrapText="1" readingOrder="2"/>
    </xf>
    <xf numFmtId="164" fontId="27" fillId="0" borderId="0" xfId="3" applyFont="1" applyFill="1" applyAlignment="1" applyProtection="1">
      <alignment horizontal="right" vertical="center" readingOrder="2"/>
    </xf>
    <xf numFmtId="0" fontId="25" fillId="0" borderId="0" xfId="2" applyFont="1" applyFill="1" applyAlignment="1" applyProtection="1">
      <alignment horizontal="right" vertical="center" wrapText="1" readingOrder="2"/>
    </xf>
    <xf numFmtId="0" fontId="18" fillId="0" borderId="0" xfId="2" applyFont="1" applyFill="1" applyAlignment="1" applyProtection="1">
      <alignment horizontal="center" vertical="center" wrapText="1" readingOrder="2"/>
    </xf>
    <xf numFmtId="0" fontId="10" fillId="0" borderId="0" xfId="4" applyFont="1" applyFill="1" applyBorder="1" applyAlignment="1" applyProtection="1">
      <alignment horizontal="right" vertical="top" readingOrder="2"/>
    </xf>
    <xf numFmtId="0" fontId="2" fillId="0" borderId="0" xfId="2" applyFont="1" applyFill="1" applyAlignment="1" applyProtection="1">
      <alignment horizontal="right" vertical="center" wrapText="1" readingOrder="2"/>
    </xf>
    <xf numFmtId="0" fontId="11" fillId="0" borderId="0" xfId="2" applyFont="1" applyFill="1" applyBorder="1" applyAlignment="1" applyProtection="1">
      <alignment horizontal="right" vertical="center" wrapText="1" readingOrder="2"/>
    </xf>
    <xf numFmtId="165" fontId="2" fillId="0" borderId="0" xfId="2" applyNumberFormat="1" applyFont="1" applyFill="1" applyBorder="1" applyAlignment="1" applyProtection="1">
      <alignment horizontal="right" vertical="center" readingOrder="2"/>
    </xf>
    <xf numFmtId="0" fontId="2" fillId="0" borderId="0" xfId="2" applyFont="1" applyFill="1" applyBorder="1" applyAlignment="1" applyProtection="1">
      <alignment horizontal="right" vertical="center" readingOrder="2"/>
    </xf>
    <xf numFmtId="0" fontId="11" fillId="0" borderId="0" xfId="2" applyFont="1" applyFill="1" applyBorder="1" applyAlignment="1" applyProtection="1">
      <alignment horizontal="right" vertical="center" readingOrder="2"/>
    </xf>
    <xf numFmtId="165" fontId="12" fillId="0" borderId="0" xfId="2" applyNumberFormat="1" applyFont="1" applyFill="1" applyBorder="1" applyAlignment="1" applyProtection="1">
      <alignment horizontal="right" vertical="center" readingOrder="2"/>
    </xf>
    <xf numFmtId="165" fontId="12" fillId="0" borderId="0" xfId="2" applyNumberFormat="1" applyFont="1" applyFill="1" applyBorder="1" applyAlignment="1" applyProtection="1">
      <alignment horizontal="right" vertical="center" shrinkToFit="1" readingOrder="2"/>
    </xf>
    <xf numFmtId="0" fontId="12" fillId="0" borderId="0" xfId="2" applyFont="1" applyFill="1" applyAlignment="1" applyProtection="1">
      <alignment horizontal="right" vertical="center" wrapText="1" readingOrder="2"/>
    </xf>
    <xf numFmtId="0" fontId="12" fillId="0" borderId="0" xfId="2" applyFont="1" applyFill="1" applyAlignment="1" applyProtection="1">
      <alignment horizontal="right" vertical="center" readingOrder="2"/>
    </xf>
    <xf numFmtId="0" fontId="14" fillId="0" borderId="0" xfId="2" applyFont="1" applyFill="1" applyBorder="1" applyAlignment="1" applyProtection="1">
      <alignment horizontal="right" vertical="center" wrapText="1" readingOrder="2"/>
    </xf>
    <xf numFmtId="0" fontId="15" fillId="0" borderId="0" xfId="2" applyFont="1" applyFill="1" applyAlignment="1" applyProtection="1">
      <alignment horizontal="right" vertical="center" readingOrder="2"/>
    </xf>
    <xf numFmtId="0" fontId="14" fillId="0" borderId="0" xfId="2" applyFont="1" applyFill="1" applyBorder="1" applyAlignment="1" applyProtection="1">
      <alignment horizontal="right" vertical="center" readingOrder="2"/>
    </xf>
    <xf numFmtId="0" fontId="11" fillId="0" borderId="2" xfId="2" applyFont="1" applyFill="1" applyBorder="1" applyAlignment="1" applyProtection="1">
      <alignment horizontal="right" vertical="center" wrapText="1" readingOrder="2"/>
    </xf>
    <xf numFmtId="0" fontId="11" fillId="0" borderId="0" xfId="2" applyFont="1" applyFill="1" applyBorder="1" applyAlignment="1" applyProtection="1">
      <alignment horizontal="right" vertical="center" readingOrder="2"/>
    </xf>
    <xf numFmtId="0" fontId="11" fillId="0" borderId="3" xfId="2" applyFont="1" applyFill="1" applyBorder="1" applyAlignment="1" applyProtection="1">
      <alignment horizontal="right" vertical="center" readingOrder="2"/>
    </xf>
    <xf numFmtId="0" fontId="10" fillId="0" borderId="0" xfId="2" applyFont="1" applyFill="1" applyAlignment="1" applyProtection="1">
      <alignment horizontal="right" vertical="center" readingOrder="2"/>
    </xf>
    <xf numFmtId="164" fontId="11" fillId="0" borderId="2" xfId="3" applyFont="1" applyFill="1" applyBorder="1" applyAlignment="1" applyProtection="1">
      <alignment horizontal="right" vertical="center" readingOrder="2"/>
    </xf>
    <xf numFmtId="0" fontId="11" fillId="0" borderId="0" xfId="2" quotePrefix="1" applyFont="1" applyFill="1" applyBorder="1" applyAlignment="1" applyProtection="1">
      <alignment horizontal="right" vertical="center" readingOrder="2"/>
    </xf>
    <xf numFmtId="0" fontId="11" fillId="0" borderId="3" xfId="2" quotePrefix="1" applyFont="1" applyFill="1" applyBorder="1" applyAlignment="1" applyProtection="1">
      <alignment horizontal="right" vertical="center" readingOrder="2"/>
    </xf>
    <xf numFmtId="0" fontId="2" fillId="0" borderId="2" xfId="2" applyFont="1" applyFill="1" applyBorder="1" applyAlignment="1" applyProtection="1">
      <alignment horizontal="right" vertical="center" wrapText="1" readingOrder="2"/>
    </xf>
    <xf numFmtId="165" fontId="2" fillId="0" borderId="4" xfId="2" applyNumberFormat="1" applyFont="1" applyFill="1" applyBorder="1" applyAlignment="1" applyProtection="1">
      <alignment horizontal="right" vertical="center" shrinkToFit="1" readingOrder="2"/>
    </xf>
    <xf numFmtId="165" fontId="2" fillId="0" borderId="5" xfId="2" applyNumberFormat="1" applyFont="1" applyFill="1" applyBorder="1" applyAlignment="1" applyProtection="1">
      <alignment horizontal="right" vertical="center" shrinkToFit="1" readingOrder="2"/>
    </xf>
    <xf numFmtId="166" fontId="2" fillId="0" borderId="5" xfId="2" applyNumberFormat="1" applyFont="1" applyFill="1" applyBorder="1" applyAlignment="1" applyProtection="1">
      <alignment horizontal="right" vertical="center" shrinkToFit="1" readingOrder="1"/>
    </xf>
    <xf numFmtId="166" fontId="2" fillId="0" borderId="6" xfId="2" applyNumberFormat="1" applyFont="1" applyFill="1" applyBorder="1" applyAlignment="1" applyProtection="1">
      <alignment horizontal="right" vertical="center" shrinkToFit="1" readingOrder="1"/>
    </xf>
    <xf numFmtId="0" fontId="2" fillId="0" borderId="2" xfId="2" applyFont="1" applyFill="1" applyBorder="1" applyAlignment="1" applyProtection="1">
      <alignment horizontal="right" vertical="center" readingOrder="2"/>
    </xf>
    <xf numFmtId="165" fontId="2" fillId="0" borderId="6" xfId="2" applyNumberFormat="1" applyFont="1" applyFill="1" applyBorder="1" applyAlignment="1" applyProtection="1">
      <alignment horizontal="right" vertical="center" shrinkToFit="1" readingOrder="2"/>
    </xf>
    <xf numFmtId="165" fontId="2" fillId="0" borderId="7" xfId="2" applyNumberFormat="1" applyFont="1" applyFill="1" applyBorder="1" applyAlignment="1" applyProtection="1">
      <alignment horizontal="right" vertical="center" shrinkToFit="1" readingOrder="2"/>
    </xf>
    <xf numFmtId="165" fontId="2" fillId="0" borderId="8" xfId="2" applyNumberFormat="1" applyFont="1" applyFill="1" applyBorder="1" applyAlignment="1" applyProtection="1">
      <alignment horizontal="right" vertical="center" shrinkToFit="1" readingOrder="2"/>
    </xf>
    <xf numFmtId="166" fontId="2" fillId="0" borderId="8" xfId="2" applyNumberFormat="1" applyFont="1" applyFill="1" applyBorder="1" applyAlignment="1" applyProtection="1">
      <alignment horizontal="right" vertical="center" shrinkToFit="1" readingOrder="1"/>
    </xf>
    <xf numFmtId="166" fontId="2" fillId="0" borderId="9" xfId="2" applyNumberFormat="1" applyFont="1" applyFill="1" applyBorder="1" applyAlignment="1" applyProtection="1">
      <alignment horizontal="right" vertical="center" shrinkToFit="1" readingOrder="1"/>
    </xf>
    <xf numFmtId="165" fontId="2" fillId="0" borderId="9" xfId="2" applyNumberFormat="1" applyFont="1" applyFill="1" applyBorder="1" applyAlignment="1" applyProtection="1">
      <alignment horizontal="right" vertical="center" shrinkToFit="1" readingOrder="2"/>
    </xf>
    <xf numFmtId="0" fontId="2" fillId="0" borderId="2" xfId="2" applyFont="1" applyFill="1" applyBorder="1" applyAlignment="1" applyProtection="1">
      <alignment horizontal="right" vertical="center" shrinkToFit="1" readingOrder="2"/>
    </xf>
    <xf numFmtId="165" fontId="2" fillId="0" borderId="10" xfId="2" applyNumberFormat="1" applyFont="1" applyFill="1" applyBorder="1" applyAlignment="1" applyProtection="1">
      <alignment horizontal="right" vertical="center" shrinkToFit="1" readingOrder="2"/>
    </xf>
    <xf numFmtId="165" fontId="2" fillId="0" borderId="11" xfId="2" applyNumberFormat="1" applyFont="1" applyFill="1" applyBorder="1" applyAlignment="1" applyProtection="1">
      <alignment horizontal="right" vertical="center" shrinkToFit="1" readingOrder="2"/>
    </xf>
    <xf numFmtId="0" fontId="2" fillId="0" borderId="2" xfId="2" applyFont="1" applyFill="1" applyBorder="1" applyAlignment="1" applyProtection="1">
      <alignment horizontal="right" vertical="center" wrapText="1" shrinkToFit="1" readingOrder="2"/>
    </xf>
    <xf numFmtId="165" fontId="2" fillId="0" borderId="12" xfId="2" applyNumberFormat="1" applyFont="1" applyFill="1" applyBorder="1" applyAlignment="1" applyProtection="1">
      <alignment horizontal="right" vertical="center" shrinkToFit="1" readingOrder="2"/>
    </xf>
    <xf numFmtId="165" fontId="2" fillId="0" borderId="13" xfId="2" applyNumberFormat="1" applyFont="1" applyFill="1" applyBorder="1" applyAlignment="1" applyProtection="1">
      <alignment horizontal="right" vertical="center" shrinkToFit="1" readingOrder="2"/>
    </xf>
    <xf numFmtId="166" fontId="2" fillId="0" borderId="13" xfId="2" applyNumberFormat="1" applyFont="1" applyFill="1" applyBorder="1" applyAlignment="1" applyProtection="1">
      <alignment horizontal="right" vertical="center" shrinkToFit="1" readingOrder="1"/>
    </xf>
    <xf numFmtId="166" fontId="2" fillId="0" borderId="14" xfId="2" applyNumberFormat="1" applyFont="1" applyFill="1" applyBorder="1" applyAlignment="1" applyProtection="1">
      <alignment horizontal="right" vertical="center" shrinkToFit="1" readingOrder="1"/>
    </xf>
    <xf numFmtId="165" fontId="2" fillId="0" borderId="15" xfId="2" applyNumberFormat="1" applyFont="1" applyFill="1" applyBorder="1" applyAlignment="1" applyProtection="1">
      <alignment horizontal="right" vertical="center" shrinkToFit="1" readingOrder="2"/>
    </xf>
    <xf numFmtId="165" fontId="2" fillId="0" borderId="16" xfId="2" applyNumberFormat="1" applyFont="1" applyFill="1" applyBorder="1" applyAlignment="1" applyProtection="1">
      <alignment horizontal="right" vertical="center" shrinkToFit="1" readingOrder="2"/>
    </xf>
    <xf numFmtId="166" fontId="2" fillId="0" borderId="16" xfId="2" applyNumberFormat="1" applyFont="1" applyFill="1" applyBorder="1" applyAlignment="1" applyProtection="1">
      <alignment horizontal="right" vertical="center" shrinkToFit="1" readingOrder="1"/>
    </xf>
    <xf numFmtId="166" fontId="2" fillId="0" borderId="17" xfId="2" applyNumberFormat="1" applyFont="1" applyFill="1" applyBorder="1" applyAlignment="1" applyProtection="1">
      <alignment horizontal="right" vertical="center" shrinkToFit="1" readingOrder="1"/>
    </xf>
    <xf numFmtId="0" fontId="2" fillId="0" borderId="18" xfId="2" applyFont="1" applyFill="1" applyBorder="1" applyAlignment="1" applyProtection="1">
      <alignment horizontal="right" vertical="center" readingOrder="2"/>
    </xf>
    <xf numFmtId="0" fontId="2" fillId="0" borderId="19" xfId="2" applyFont="1" applyFill="1" applyBorder="1" applyAlignment="1" applyProtection="1">
      <alignment horizontal="right" vertical="center" readingOrder="2"/>
    </xf>
    <xf numFmtId="165" fontId="2" fillId="0" borderId="17" xfId="2" applyNumberFormat="1" applyFont="1" applyFill="1" applyBorder="1" applyAlignment="1" applyProtection="1">
      <alignment horizontal="right" vertical="center" shrinkToFit="1" readingOrder="2"/>
    </xf>
    <xf numFmtId="165" fontId="2" fillId="0" borderId="20" xfId="2" applyNumberFormat="1" applyFont="1" applyFill="1" applyBorder="1" applyAlignment="1" applyProtection="1">
      <alignment horizontal="right" vertical="center" shrinkToFit="1" readingOrder="2"/>
    </xf>
    <xf numFmtId="165" fontId="2" fillId="0" borderId="21" xfId="2" applyNumberFormat="1" applyFont="1" applyFill="1" applyBorder="1" applyAlignment="1" applyProtection="1">
      <alignment horizontal="right" vertical="center" shrinkToFit="1" readingOrder="2"/>
    </xf>
    <xf numFmtId="0" fontId="11" fillId="0" borderId="2" xfId="2" applyFont="1" applyFill="1" applyBorder="1" applyAlignment="1" applyProtection="1">
      <alignment horizontal="right" vertical="center" readingOrder="2"/>
    </xf>
    <xf numFmtId="0" fontId="2" fillId="0" borderId="3" xfId="2" applyFont="1" applyFill="1" applyBorder="1" applyAlignment="1" applyProtection="1">
      <alignment horizontal="right" vertical="center" readingOrder="2"/>
    </xf>
    <xf numFmtId="167" fontId="2" fillId="0" borderId="0" xfId="2" applyNumberFormat="1" applyFont="1" applyFill="1" applyBorder="1" applyAlignment="1" applyProtection="1">
      <alignment horizontal="right" vertical="center" readingOrder="2"/>
    </xf>
    <xf numFmtId="167" fontId="2" fillId="0" borderId="3" xfId="2" applyNumberFormat="1" applyFont="1" applyFill="1" applyBorder="1" applyAlignment="1" applyProtection="1">
      <alignment horizontal="right" vertical="center" readingOrder="2"/>
    </xf>
    <xf numFmtId="165" fontId="2" fillId="0" borderId="22" xfId="2" applyNumberFormat="1" applyFont="1" applyFill="1" applyBorder="1" applyAlignment="1" applyProtection="1">
      <alignment horizontal="right" vertical="center" shrinkToFit="1" readingOrder="2"/>
    </xf>
    <xf numFmtId="165" fontId="2" fillId="0" borderId="23" xfId="2" applyNumberFormat="1" applyFont="1" applyFill="1" applyBorder="1" applyAlignment="1" applyProtection="1">
      <alignment horizontal="right" vertical="center" shrinkToFit="1" readingOrder="2"/>
    </xf>
    <xf numFmtId="165" fontId="2" fillId="0" borderId="0" xfId="2" applyNumberFormat="1" applyFont="1" applyFill="1" applyBorder="1" applyAlignment="1" applyProtection="1">
      <alignment horizontal="right" vertical="center" shrinkToFit="1" readingOrder="2"/>
    </xf>
    <xf numFmtId="165" fontId="2" fillId="0" borderId="24" xfId="2" applyNumberFormat="1" applyFont="1" applyFill="1" applyBorder="1" applyAlignment="1" applyProtection="1">
      <alignment horizontal="right" vertical="center" shrinkToFit="1" readingOrder="2"/>
    </xf>
    <xf numFmtId="165" fontId="11" fillId="0" borderId="25" xfId="2" applyNumberFormat="1" applyFont="1" applyFill="1" applyBorder="1" applyAlignment="1" applyProtection="1">
      <alignment horizontal="right" vertical="center" shrinkToFit="1" readingOrder="2"/>
    </xf>
    <xf numFmtId="165" fontId="11" fillId="0" borderId="26" xfId="2" applyNumberFormat="1" applyFont="1" applyFill="1" applyBorder="1" applyAlignment="1" applyProtection="1">
      <alignment horizontal="right" vertical="center" shrinkToFit="1" readingOrder="2"/>
    </xf>
    <xf numFmtId="0" fontId="2" fillId="0" borderId="27" xfId="2" applyFont="1" applyFill="1" applyBorder="1" applyAlignment="1" applyProtection="1">
      <alignment horizontal="right" vertical="center" wrapText="1" readingOrder="2"/>
    </xf>
    <xf numFmtId="167" fontId="2" fillId="0" borderId="28" xfId="2" applyNumberFormat="1" applyFont="1" applyFill="1" applyBorder="1" applyAlignment="1" applyProtection="1">
      <alignment horizontal="right" vertical="center" readingOrder="2"/>
    </xf>
    <xf numFmtId="0" fontId="2" fillId="0" borderId="29" xfId="2" applyFont="1" applyFill="1" applyBorder="1" applyAlignment="1" applyProtection="1">
      <alignment horizontal="right" vertical="center" readingOrder="2"/>
    </xf>
    <xf numFmtId="0" fontId="2" fillId="0" borderId="27" xfId="2" applyFont="1" applyFill="1" applyBorder="1" applyAlignment="1" applyProtection="1">
      <alignment horizontal="right" vertical="center" readingOrder="2"/>
    </xf>
    <xf numFmtId="0" fontId="2" fillId="0" borderId="28" xfId="2" applyFont="1" applyFill="1" applyBorder="1" applyAlignment="1" applyProtection="1">
      <alignment horizontal="right" vertical="center" readingOrder="2"/>
    </xf>
    <xf numFmtId="166" fontId="2" fillId="0" borderId="4" xfId="1" applyNumberFormat="1" applyFont="1" applyFill="1" applyBorder="1" applyAlignment="1" applyProtection="1">
      <alignment horizontal="right" vertical="center" shrinkToFit="1" readingOrder="1"/>
    </xf>
    <xf numFmtId="166" fontId="2" fillId="0" borderId="6" xfId="1" applyNumberFormat="1" applyFont="1" applyFill="1" applyBorder="1" applyAlignment="1" applyProtection="1">
      <alignment horizontal="right" vertical="center" shrinkToFit="1" readingOrder="1"/>
    </xf>
    <xf numFmtId="166" fontId="2" fillId="0" borderId="7" xfId="1" applyNumberFormat="1" applyFont="1" applyFill="1" applyBorder="1" applyAlignment="1" applyProtection="1">
      <alignment horizontal="right" vertical="center" shrinkToFit="1" readingOrder="1"/>
    </xf>
    <xf numFmtId="166" fontId="2" fillId="0" borderId="9" xfId="1" applyNumberFormat="1" applyFont="1" applyFill="1" applyBorder="1" applyAlignment="1" applyProtection="1">
      <alignment horizontal="right" vertical="center" shrinkToFit="1" readingOrder="1"/>
    </xf>
    <xf numFmtId="165" fontId="11" fillId="0" borderId="30" xfId="2" applyNumberFormat="1" applyFont="1" applyFill="1" applyBorder="1" applyAlignment="1" applyProtection="1">
      <alignment horizontal="right" vertical="center" shrinkToFit="1" readingOrder="2"/>
    </xf>
    <xf numFmtId="165" fontId="11" fillId="0" borderId="31" xfId="2" applyNumberFormat="1" applyFont="1" applyFill="1" applyBorder="1" applyAlignment="1" applyProtection="1">
      <alignment horizontal="right" vertical="center" shrinkToFit="1" readingOrder="2"/>
    </xf>
    <xf numFmtId="0" fontId="11" fillId="0" borderId="0" xfId="2" applyFont="1" applyFill="1" applyBorder="1" applyAlignment="1" applyProtection="1">
      <alignment horizontal="right" vertical="center" wrapText="1" readingOrder="2"/>
    </xf>
    <xf numFmtId="0" fontId="11" fillId="0" borderId="2" xfId="2" applyFont="1" applyFill="1" applyBorder="1" applyAlignment="1" applyProtection="1">
      <alignment horizontal="right" vertical="center" shrinkToFit="1" readingOrder="2"/>
    </xf>
    <xf numFmtId="165" fontId="11" fillId="0" borderId="15" xfId="2" applyNumberFormat="1" applyFont="1" applyFill="1" applyBorder="1" applyAlignment="1" applyProtection="1">
      <alignment horizontal="right" vertical="center" shrinkToFit="1" readingOrder="2"/>
    </xf>
    <xf numFmtId="165" fontId="11" fillId="0" borderId="17" xfId="2" applyNumberFormat="1" applyFont="1" applyFill="1" applyBorder="1" applyAlignment="1" applyProtection="1">
      <alignment horizontal="right" vertical="center" shrinkToFit="1" readingOrder="2"/>
    </xf>
    <xf numFmtId="9" fontId="2" fillId="0" borderId="7" xfId="1" applyNumberFormat="1" applyFont="1" applyFill="1" applyBorder="1" applyAlignment="1" applyProtection="1">
      <alignment horizontal="right" vertical="center" shrinkToFit="1" readingOrder="2"/>
    </xf>
    <xf numFmtId="9" fontId="2" fillId="0" borderId="9" xfId="1" applyNumberFormat="1" applyFont="1" applyFill="1" applyBorder="1" applyAlignment="1" applyProtection="1">
      <alignment horizontal="right" vertical="center" shrinkToFit="1" readingOrder="2"/>
    </xf>
    <xf numFmtId="168" fontId="2" fillId="0" borderId="0" xfId="2" applyNumberFormat="1" applyFont="1" applyFill="1" applyAlignment="1" applyProtection="1">
      <alignment horizontal="right" vertical="center" readingOrder="2"/>
    </xf>
    <xf numFmtId="165" fontId="2" fillId="0" borderId="32" xfId="2" applyNumberFormat="1" applyFont="1" applyFill="1" applyBorder="1" applyAlignment="1" applyProtection="1">
      <alignment horizontal="right" vertical="center" shrinkToFit="1" readingOrder="2"/>
    </xf>
    <xf numFmtId="165" fontId="2" fillId="0" borderId="33" xfId="2" applyNumberFormat="1" applyFont="1" applyFill="1" applyBorder="1" applyAlignment="1" applyProtection="1">
      <alignment horizontal="right" vertical="center" shrinkToFit="1" readingOrder="2"/>
    </xf>
    <xf numFmtId="169" fontId="12" fillId="0" borderId="28" xfId="2" applyNumberFormat="1" applyFont="1" applyFill="1" applyBorder="1" applyAlignment="1" applyProtection="1">
      <alignment horizontal="right" vertical="center" readingOrder="2"/>
    </xf>
    <xf numFmtId="1" fontId="11" fillId="0" borderId="0" xfId="2" applyNumberFormat="1" applyFont="1" applyFill="1" applyBorder="1" applyAlignment="1" applyProtection="1">
      <alignment horizontal="right" vertical="center" readingOrder="2"/>
    </xf>
    <xf numFmtId="1" fontId="11" fillId="0" borderId="0" xfId="2" applyNumberFormat="1" applyFont="1" applyFill="1" applyBorder="1" applyAlignment="1" applyProtection="1">
      <alignment vertical="center" readingOrder="2"/>
    </xf>
    <xf numFmtId="0" fontId="2" fillId="0" borderId="0" xfId="2" applyFont="1" applyFill="1" applyBorder="1" applyAlignment="1" applyProtection="1">
      <alignment horizontal="right" vertical="center" wrapText="1" readingOrder="2"/>
    </xf>
    <xf numFmtId="1" fontId="11" fillId="0" borderId="0" xfId="2" applyNumberFormat="1" applyFont="1" applyFill="1" applyBorder="1" applyAlignment="1" applyProtection="1">
      <alignment horizontal="right" vertical="center" readingOrder="2"/>
    </xf>
    <xf numFmtId="0" fontId="28" fillId="0" borderId="0" xfId="0" applyFont="1" applyFill="1" applyAlignment="1">
      <alignment horizontal="right" vertical="center" readingOrder="2"/>
    </xf>
    <xf numFmtId="0" fontId="2" fillId="0" borderId="34" xfId="2" applyFont="1" applyFill="1" applyBorder="1" applyAlignment="1" applyProtection="1">
      <alignment horizontal="right" vertical="center" readingOrder="2"/>
    </xf>
    <xf numFmtId="0" fontId="2" fillId="0" borderId="34" xfId="2" applyFont="1" applyFill="1" applyBorder="1" applyAlignment="1" applyProtection="1">
      <alignment horizontal="right" vertical="center" wrapText="1" readingOrder="2"/>
    </xf>
    <xf numFmtId="164" fontId="18" fillId="0" borderId="0" xfId="2" applyNumberFormat="1" applyFont="1" applyFill="1" applyAlignment="1" applyProtection="1">
      <alignment horizontal="center" vertical="center" wrapText="1" readingOrder="2"/>
    </xf>
    <xf numFmtId="0" fontId="19" fillId="0" borderId="0" xfId="2" applyFont="1" applyFill="1" applyBorder="1" applyAlignment="1" applyProtection="1">
      <alignment horizontal="right" vertical="center" wrapText="1" readingOrder="2"/>
    </xf>
    <xf numFmtId="0" fontId="12" fillId="0" borderId="0" xfId="2" applyFont="1" applyFill="1" applyBorder="1" applyAlignment="1" applyProtection="1">
      <alignment horizontal="right" vertical="center" readingOrder="2"/>
    </xf>
    <xf numFmtId="0" fontId="19" fillId="0" borderId="0" xfId="2" applyFont="1" applyFill="1" applyBorder="1" applyAlignment="1" applyProtection="1">
      <alignment horizontal="right" vertical="center" readingOrder="2"/>
    </xf>
    <xf numFmtId="0" fontId="20" fillId="0" borderId="0" xfId="2" applyFont="1" applyFill="1" applyBorder="1" applyAlignment="1" applyProtection="1">
      <alignment horizontal="right" vertical="center" wrapText="1" readingOrder="2"/>
    </xf>
    <xf numFmtId="0" fontId="20" fillId="0" borderId="0" xfId="2" applyFont="1" applyFill="1" applyBorder="1" applyAlignment="1" applyProtection="1">
      <alignment horizontal="right" vertical="center" readingOrder="2"/>
    </xf>
    <xf numFmtId="0" fontId="19" fillId="0" borderId="35" xfId="2" applyFont="1" applyFill="1" applyBorder="1" applyAlignment="1" applyProtection="1">
      <alignment horizontal="right" vertical="center" wrapText="1" readingOrder="2"/>
    </xf>
    <xf numFmtId="0" fontId="19" fillId="0" borderId="36" xfId="2" applyFont="1" applyFill="1" applyBorder="1" applyAlignment="1" applyProtection="1">
      <alignment horizontal="right" vertical="center" readingOrder="2"/>
    </xf>
    <xf numFmtId="0" fontId="19" fillId="0" borderId="37" xfId="2" applyFont="1" applyFill="1" applyBorder="1" applyAlignment="1" applyProtection="1">
      <alignment horizontal="right" vertical="center" readingOrder="2"/>
    </xf>
    <xf numFmtId="164" fontId="19" fillId="0" borderId="35" xfId="3" applyFont="1" applyFill="1" applyBorder="1" applyAlignment="1" applyProtection="1">
      <alignment horizontal="right" vertical="center" readingOrder="2"/>
    </xf>
    <xf numFmtId="0" fontId="19" fillId="0" borderId="36" xfId="2" quotePrefix="1" applyFont="1" applyFill="1" applyBorder="1" applyAlignment="1" applyProtection="1">
      <alignment horizontal="right" vertical="center" readingOrder="2"/>
    </xf>
    <xf numFmtId="0" fontId="19" fillId="0" borderId="37" xfId="2" quotePrefix="1" applyFont="1" applyFill="1" applyBorder="1" applyAlignment="1" applyProtection="1">
      <alignment horizontal="right" vertical="center" readingOrder="2"/>
    </xf>
    <xf numFmtId="0" fontId="12" fillId="0" borderId="38" xfId="2" applyFont="1" applyFill="1" applyBorder="1" applyAlignment="1" applyProtection="1">
      <alignment horizontal="right" vertical="center" wrapText="1" readingOrder="2"/>
    </xf>
    <xf numFmtId="165" fontId="12" fillId="0" borderId="39" xfId="2" applyNumberFormat="1" applyFont="1" applyFill="1" applyBorder="1" applyAlignment="1" applyProtection="1">
      <alignment horizontal="right" vertical="center" shrinkToFit="1" readingOrder="2"/>
    </xf>
    <xf numFmtId="10" fontId="12" fillId="0" borderId="39" xfId="2" applyNumberFormat="1" applyFont="1" applyFill="1" applyBorder="1" applyAlignment="1" applyProtection="1">
      <alignment horizontal="right" vertical="center" shrinkToFit="1" readingOrder="1"/>
    </xf>
    <xf numFmtId="10" fontId="12" fillId="0" borderId="40" xfId="2" applyNumberFormat="1" applyFont="1" applyFill="1" applyBorder="1" applyAlignment="1" applyProtection="1">
      <alignment horizontal="right" vertical="center" shrinkToFit="1" readingOrder="1"/>
    </xf>
    <xf numFmtId="0" fontId="12" fillId="0" borderId="38" xfId="2" applyFont="1" applyFill="1" applyBorder="1" applyAlignment="1" applyProtection="1">
      <alignment horizontal="right" vertical="center" readingOrder="2"/>
    </xf>
    <xf numFmtId="165" fontId="12" fillId="0" borderId="40" xfId="2" applyNumberFormat="1" applyFont="1" applyFill="1" applyBorder="1" applyAlignment="1" applyProtection="1">
      <alignment horizontal="right" vertical="center" shrinkToFit="1" readingOrder="2"/>
    </xf>
    <xf numFmtId="165" fontId="12" fillId="0" borderId="0" xfId="2" applyNumberFormat="1" applyFont="1" applyFill="1" applyBorder="1" applyAlignment="1" applyProtection="1">
      <alignment horizontal="right" vertical="center" shrinkToFit="1" readingOrder="2"/>
    </xf>
    <xf numFmtId="166" fontId="12" fillId="0" borderId="0" xfId="2" applyNumberFormat="1" applyFont="1" applyFill="1" applyBorder="1" applyAlignment="1" applyProtection="1">
      <alignment horizontal="right" vertical="center" shrinkToFit="1" readingOrder="1"/>
    </xf>
    <xf numFmtId="166" fontId="12" fillId="0" borderId="41" xfId="2" applyNumberFormat="1" applyFont="1" applyFill="1" applyBorder="1" applyAlignment="1" applyProtection="1">
      <alignment horizontal="right" vertical="center" shrinkToFit="1" readingOrder="1"/>
    </xf>
    <xf numFmtId="165" fontId="12" fillId="0" borderId="41" xfId="2" applyNumberFormat="1" applyFont="1" applyFill="1" applyBorder="1" applyAlignment="1" applyProtection="1">
      <alignment horizontal="right" vertical="center" shrinkToFit="1" readingOrder="2"/>
    </xf>
    <xf numFmtId="0" fontId="12" fillId="0" borderId="38" xfId="2" applyFont="1" applyFill="1" applyBorder="1" applyAlignment="1" applyProtection="1">
      <alignment horizontal="right" vertical="center" shrinkToFit="1" readingOrder="2"/>
    </xf>
    <xf numFmtId="165" fontId="12" fillId="0" borderId="42" xfId="2" applyNumberFormat="1" applyFont="1" applyFill="1" applyBorder="1" applyAlignment="1" applyProtection="1">
      <alignment horizontal="right" vertical="center" shrinkToFit="1" readingOrder="2"/>
    </xf>
    <xf numFmtId="166" fontId="12" fillId="0" borderId="42" xfId="2" applyNumberFormat="1" applyFont="1" applyFill="1" applyBorder="1" applyAlignment="1" applyProtection="1">
      <alignment horizontal="right" vertical="center" shrinkToFit="1" readingOrder="1"/>
    </xf>
    <xf numFmtId="166" fontId="12" fillId="0" borderId="43" xfId="2" applyNumberFormat="1" applyFont="1" applyFill="1" applyBorder="1" applyAlignment="1" applyProtection="1">
      <alignment horizontal="right" vertical="center" shrinkToFit="1" readingOrder="1"/>
    </xf>
    <xf numFmtId="165" fontId="12" fillId="0" borderId="44" xfId="2" applyNumberFormat="1" applyFont="1" applyFill="1" applyBorder="1" applyAlignment="1" applyProtection="1">
      <alignment horizontal="right" vertical="center" shrinkToFit="1" readingOrder="2"/>
    </xf>
    <xf numFmtId="166" fontId="12" fillId="0" borderId="44" xfId="2" applyNumberFormat="1" applyFont="1" applyFill="1" applyBorder="1" applyAlignment="1" applyProtection="1">
      <alignment horizontal="right" vertical="center" shrinkToFit="1" readingOrder="1"/>
    </xf>
    <xf numFmtId="166" fontId="12" fillId="0" borderId="45" xfId="2" applyNumberFormat="1" applyFont="1" applyFill="1" applyBorder="1" applyAlignment="1" applyProtection="1">
      <alignment horizontal="right" vertical="center" shrinkToFit="1" readingOrder="1"/>
    </xf>
    <xf numFmtId="0" fontId="12" fillId="0" borderId="18" xfId="2" applyFont="1" applyFill="1" applyBorder="1" applyAlignment="1" applyProtection="1">
      <alignment horizontal="right" vertical="center" readingOrder="2"/>
    </xf>
    <xf numFmtId="0" fontId="12" fillId="0" borderId="46" xfId="2" applyFont="1" applyFill="1" applyBorder="1" applyAlignment="1" applyProtection="1">
      <alignment horizontal="right" vertical="center" readingOrder="2"/>
    </xf>
    <xf numFmtId="165" fontId="12" fillId="0" borderId="45" xfId="2" applyNumberFormat="1" applyFont="1" applyFill="1" applyBorder="1" applyAlignment="1" applyProtection="1">
      <alignment horizontal="right" vertical="center" shrinkToFit="1" readingOrder="2"/>
    </xf>
    <xf numFmtId="165" fontId="12" fillId="0" borderId="18" xfId="2" applyNumberFormat="1" applyFont="1" applyFill="1" applyBorder="1" applyAlignment="1" applyProtection="1">
      <alignment horizontal="right" vertical="center" shrinkToFit="1" readingOrder="2"/>
    </xf>
    <xf numFmtId="165" fontId="12" fillId="0" borderId="46" xfId="2" applyNumberFormat="1" applyFont="1" applyFill="1" applyBorder="1" applyAlignment="1" applyProtection="1">
      <alignment horizontal="right" vertical="center" shrinkToFit="1" readingOrder="2"/>
    </xf>
    <xf numFmtId="166" fontId="12" fillId="0" borderId="39" xfId="2" applyNumberFormat="1" applyFont="1" applyFill="1" applyBorder="1" applyAlignment="1" applyProtection="1">
      <alignment horizontal="right" vertical="center" shrinkToFit="1" readingOrder="1"/>
    </xf>
    <xf numFmtId="166" fontId="12" fillId="0" borderId="40" xfId="2" applyNumberFormat="1" applyFont="1" applyFill="1" applyBorder="1" applyAlignment="1" applyProtection="1">
      <alignment horizontal="right" vertical="center" shrinkToFit="1" readingOrder="1"/>
    </xf>
    <xf numFmtId="0" fontId="12" fillId="0" borderId="41" xfId="2" applyFont="1" applyFill="1" applyBorder="1" applyAlignment="1" applyProtection="1">
      <alignment horizontal="right" vertical="center" readingOrder="2"/>
    </xf>
    <xf numFmtId="0" fontId="12" fillId="0" borderId="0" xfId="2" applyNumberFormat="1" applyFont="1" applyFill="1" applyBorder="1" applyAlignment="1" applyProtection="1">
      <alignment horizontal="right" vertical="center" readingOrder="2"/>
    </xf>
    <xf numFmtId="0" fontId="12" fillId="0" borderId="41" xfId="2" applyNumberFormat="1" applyFont="1" applyFill="1" applyBorder="1" applyAlignment="1" applyProtection="1">
      <alignment horizontal="right" vertical="center" readingOrder="2"/>
    </xf>
    <xf numFmtId="0" fontId="12" fillId="0" borderId="35" xfId="2" applyFont="1" applyFill="1" applyBorder="1" applyAlignment="1" applyProtection="1">
      <alignment horizontal="right" vertical="center" readingOrder="2"/>
    </xf>
    <xf numFmtId="165" fontId="12" fillId="0" borderId="24" xfId="2" applyNumberFormat="1" applyFont="1" applyFill="1" applyBorder="1" applyAlignment="1" applyProtection="1">
      <alignment horizontal="right" vertical="center" shrinkToFit="1" readingOrder="2"/>
    </xf>
    <xf numFmtId="165" fontId="19" fillId="0" borderId="39" xfId="2" applyNumberFormat="1" applyFont="1" applyFill="1" applyBorder="1" applyAlignment="1" applyProtection="1">
      <alignment horizontal="right" vertical="center" shrinkToFit="1" readingOrder="2"/>
    </xf>
    <xf numFmtId="165" fontId="19" fillId="0" borderId="41" xfId="2" applyNumberFormat="1" applyFont="1" applyFill="1" applyBorder="1" applyAlignment="1" applyProtection="1">
      <alignment horizontal="right" vertical="center" shrinkToFit="1" readingOrder="2"/>
    </xf>
    <xf numFmtId="0" fontId="12" fillId="0" borderId="47" xfId="2" applyNumberFormat="1" applyFont="1" applyFill="1" applyBorder="1" applyAlignment="1" applyProtection="1">
      <alignment horizontal="right" vertical="center" wrapText="1" readingOrder="2"/>
    </xf>
    <xf numFmtId="0" fontId="12" fillId="0" borderId="42" xfId="2" applyNumberFormat="1" applyFont="1" applyFill="1" applyBorder="1" applyAlignment="1" applyProtection="1">
      <alignment horizontal="right" vertical="center" readingOrder="2"/>
    </xf>
    <xf numFmtId="0" fontId="12" fillId="0" borderId="43" xfId="2" applyNumberFormat="1" applyFont="1" applyFill="1" applyBorder="1" applyAlignment="1" applyProtection="1">
      <alignment horizontal="right" vertical="center" readingOrder="2"/>
    </xf>
    <xf numFmtId="0" fontId="12" fillId="0" borderId="47" xfId="2" applyFont="1" applyFill="1" applyBorder="1" applyAlignment="1" applyProtection="1">
      <alignment horizontal="right" vertical="center" readingOrder="2"/>
    </xf>
    <xf numFmtId="0" fontId="12" fillId="0" borderId="42" xfId="2" applyFont="1" applyFill="1" applyBorder="1" applyAlignment="1" applyProtection="1">
      <alignment horizontal="right" vertical="center" readingOrder="2"/>
    </xf>
    <xf numFmtId="0" fontId="12" fillId="0" borderId="43" xfId="2" applyFont="1" applyFill="1" applyBorder="1" applyAlignment="1" applyProtection="1">
      <alignment horizontal="right" vertical="center" readingOrder="2"/>
    </xf>
    <xf numFmtId="0" fontId="12" fillId="0" borderId="0" xfId="2" applyFont="1" applyFill="1" applyAlignment="1" applyProtection="1">
      <alignment horizontal="right" vertical="center" readingOrder="2"/>
    </xf>
    <xf numFmtId="0" fontId="12" fillId="0" borderId="35" xfId="2" applyFont="1" applyFill="1" applyBorder="1" applyAlignment="1" applyProtection="1">
      <alignment horizontal="right" vertical="center" wrapText="1" readingOrder="2"/>
    </xf>
    <xf numFmtId="166" fontId="12" fillId="0" borderId="39" xfId="1" applyNumberFormat="1" applyFont="1" applyFill="1" applyBorder="1" applyAlignment="1" applyProtection="1">
      <alignment horizontal="right" vertical="center" shrinkToFit="1" readingOrder="1"/>
    </xf>
    <xf numFmtId="166" fontId="12" fillId="0" borderId="40" xfId="1" applyNumberFormat="1" applyFont="1" applyFill="1" applyBorder="1" applyAlignment="1" applyProtection="1">
      <alignment horizontal="right" vertical="center" shrinkToFit="1" readingOrder="1"/>
    </xf>
    <xf numFmtId="166" fontId="12" fillId="0" borderId="0" xfId="1" applyNumberFormat="1" applyFont="1" applyFill="1" applyBorder="1" applyAlignment="1" applyProtection="1">
      <alignment horizontal="right" vertical="center" shrinkToFit="1" readingOrder="1"/>
    </xf>
    <xf numFmtId="166" fontId="12" fillId="0" borderId="41" xfId="1" applyNumberFormat="1" applyFont="1" applyFill="1" applyBorder="1" applyAlignment="1" applyProtection="1">
      <alignment horizontal="right" vertical="center" shrinkToFit="1" readingOrder="1"/>
    </xf>
    <xf numFmtId="165" fontId="19" fillId="0" borderId="0" xfId="2" applyNumberFormat="1" applyFont="1" applyFill="1" applyBorder="1" applyAlignment="1" applyProtection="1">
      <alignment horizontal="right" vertical="center" shrinkToFit="1" readingOrder="2"/>
    </xf>
    <xf numFmtId="0" fontId="12" fillId="0" borderId="47" xfId="2" applyFont="1" applyFill="1" applyBorder="1" applyAlignment="1" applyProtection="1">
      <alignment horizontal="right" vertical="center" wrapText="1" readingOrder="2"/>
    </xf>
    <xf numFmtId="165" fontId="19" fillId="0" borderId="40" xfId="2" applyNumberFormat="1" applyFont="1" applyFill="1" applyBorder="1" applyAlignment="1" applyProtection="1">
      <alignment horizontal="right" vertical="center" shrinkToFit="1" readingOrder="2"/>
    </xf>
    <xf numFmtId="165" fontId="19" fillId="0" borderId="44" xfId="2" applyNumberFormat="1" applyFont="1" applyFill="1" applyBorder="1" applyAlignment="1" applyProtection="1">
      <alignment horizontal="right" vertical="center" shrinkToFit="1" readingOrder="2"/>
    </xf>
    <xf numFmtId="165" fontId="19" fillId="0" borderId="45" xfId="2" applyNumberFormat="1" applyFont="1" applyFill="1" applyBorder="1" applyAlignment="1" applyProtection="1">
      <alignment horizontal="right" vertical="center" shrinkToFit="1" readingOrder="2"/>
    </xf>
    <xf numFmtId="0" fontId="19" fillId="0" borderId="0" xfId="2" applyFont="1" applyFill="1" applyBorder="1" applyAlignment="1" applyProtection="1">
      <alignment horizontal="right" vertical="center" wrapText="1" readingOrder="2"/>
    </xf>
    <xf numFmtId="9" fontId="12" fillId="0" borderId="0" xfId="1" applyNumberFormat="1" applyFont="1" applyFill="1" applyBorder="1" applyAlignment="1" applyProtection="1">
      <alignment horizontal="right" vertical="center" shrinkToFit="1" readingOrder="2"/>
    </xf>
    <xf numFmtId="9" fontId="12" fillId="0" borderId="41" xfId="1" applyNumberFormat="1" applyFont="1" applyFill="1" applyBorder="1" applyAlignment="1" applyProtection="1">
      <alignment horizontal="right" vertical="center" shrinkToFit="1" readingOrder="2"/>
    </xf>
    <xf numFmtId="165" fontId="12" fillId="0" borderId="42" xfId="2" applyNumberFormat="1" applyFont="1" applyFill="1" applyBorder="1" applyAlignment="1" applyProtection="1">
      <alignment horizontal="right" vertical="center" readingOrder="2"/>
    </xf>
    <xf numFmtId="165" fontId="12" fillId="0" borderId="43" xfId="2" applyNumberFormat="1" applyFont="1" applyFill="1" applyBorder="1" applyAlignment="1" applyProtection="1">
      <alignment horizontal="right" vertical="center" readingOrder="2"/>
    </xf>
    <xf numFmtId="0" fontId="12" fillId="0" borderId="0" xfId="2" applyNumberFormat="1" applyFont="1" applyFill="1" applyAlignment="1" applyProtection="1">
      <alignment horizontal="right" vertical="center" readingOrder="2"/>
    </xf>
    <xf numFmtId="1" fontId="12" fillId="0" borderId="0" xfId="2" applyNumberFormat="1" applyFont="1" applyFill="1" applyAlignment="1" applyProtection="1">
      <alignment horizontal="right" vertical="center" readingOrder="2"/>
    </xf>
    <xf numFmtId="1" fontId="19" fillId="0" borderId="0" xfId="2" applyNumberFormat="1" applyFont="1" applyFill="1" applyBorder="1" applyAlignment="1" applyProtection="1">
      <alignment horizontal="right" vertical="center" readingOrder="2"/>
    </xf>
    <xf numFmtId="0" fontId="12" fillId="0" borderId="0" xfId="2" applyFont="1" applyFill="1" applyBorder="1" applyAlignment="1" applyProtection="1">
      <alignment horizontal="right" vertical="center" wrapText="1" readingOrder="2"/>
    </xf>
  </cellXfs>
  <cellStyles count="5">
    <cellStyle name="Normal" xfId="0" builtinId="0"/>
    <cellStyle name="Normal_Copy of financialReport" xfId="2"/>
    <cellStyle name="Normal_גיליון עבודה1" xfId="3"/>
    <cellStyle name="Percent" xfId="1" builtinId="5"/>
    <cellStyle name="היפר-קישור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2</xdr:col>
      <xdr:colOff>0</xdr:colOff>
      <xdr:row>2</xdr:row>
      <xdr:rowOff>142875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xmlns="" id="{00000000-0008-0000-2600-0000BC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8238850" y="142875"/>
          <a:ext cx="2390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2</xdr:col>
      <xdr:colOff>0</xdr:colOff>
      <xdr:row>2</xdr:row>
      <xdr:rowOff>142875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xmlns="" id="{00000000-0008-0000-2600-0000BC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5851925" y="142875"/>
          <a:ext cx="2476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1;&#1512;&#1497;&#1514;%20&#1502;&#1500;&#1488;&#1499;&#1497;/1220/&#1511;&#1489;&#1510;&#1497;%20&#1502;&#1513;&#1512;&#1491;%20&#1492;&#1508;&#1504;&#1497;&#1501;/&#1491;&#1493;&#1495;&#1493;&#1514;%20&#1499;&#1505;&#1508;&#1497;&#1497;&#1501;/&#1491;&#1493;&#1495;%20&#1499;&#1505;&#1508;&#1497;%202020/financialReport-%20&#1492;&#1493;&#1506;&#1500;&#1492;%20&#1500;&#1488;&#1514;&#1512;%20&#1502;&#1513;&#1512;&#1491;%20&#1492;&#1508;&#1504;&#1497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תיח"/>
      <sheetName val="תוכן ענינים להדפסה"/>
      <sheetName val="דוח המבקרים"/>
      <sheetName val="טופס 1 אקטיב"/>
      <sheetName val="טופס 1 פאסיב"/>
      <sheetName val="טופס 2"/>
      <sheetName val="טופס 3"/>
      <sheetName val="טופס 4"/>
      <sheetName val="נתונים והתאמות לטופס 4"/>
      <sheetName val="ביאורים 1, 2 א-ב"/>
      <sheetName val="ביאור 2 ג-ח"/>
      <sheetName val="ביאור 2 ט-טו"/>
      <sheetName val="ביאור 3"/>
      <sheetName val="ביאור 4"/>
      <sheetName val="ביאור 5"/>
      <sheetName val="ביאורים 6-9"/>
      <sheetName val="ביאורים נוספים"/>
      <sheetName val="נספח 2 לטופס 1"/>
      <sheetName val="נספח 2 לטופס 1 - פירוט א"/>
      <sheetName val="נספח 2 לטופס 1 - פירוט ב"/>
      <sheetName val="נספח 2 לטופס 1 - פירוט ג"/>
      <sheetName val="נספח 2 לטופס 1 - פירוט ד"/>
      <sheetName val="נספח 3 לטופס 1"/>
      <sheetName val="נספח 1 לטופס 2"/>
      <sheetName val="נספח 1 לטופס 2  המשך"/>
      <sheetName val="נספח 2 לטופס 2"/>
      <sheetName val="נספח 3 לטופס 2"/>
      <sheetName val="נספח 4 לטופס 2 חלק א"/>
      <sheetName val="נספח 4 לטופס 2 חלק ב"/>
      <sheetName val="נספח 5 לטופס 2"/>
      <sheetName val="נספח 6 לטופס 2"/>
      <sheetName val="נספח 7 לטופס 2-לא פעיל"/>
      <sheetName val="נספח 8 לטופס 2-לא פעיל"/>
      <sheetName val="נספח 7 לטופס 2"/>
      <sheetName val="נספח 1 לטופס 3"/>
      <sheetName val="דוח תמיכות"/>
      <sheetName val="ספר לבן"/>
      <sheetName val="דוח לתושב"/>
      <sheetName val="נספח א"/>
      <sheetName val="נתונים לנספח 4 לטופס 2 חלק א"/>
      <sheetName val="בדיקות הצלבה"/>
      <sheetName val="נתונים משותפים"/>
      <sheetName val="נתונים כלליים"/>
      <sheetName val="נתונים נוספים"/>
      <sheetName val="נתונים לטופס 1"/>
      <sheetName val="נתונים לטופס 3"/>
      <sheetName val="נתונים לנספח 2 לטופס 1"/>
      <sheetName val="נתונים לנספח 1 לטופס 2"/>
      <sheetName val="הגדרות כלליות"/>
      <sheetName val="תוכן הענינים"/>
      <sheetName val="מקרא"/>
      <sheetName val="ביאורים 1, 2 א-ב ישן"/>
    </sheetNames>
    <sheetDataSet>
      <sheetData sheetId="0"/>
      <sheetData sheetId="1"/>
      <sheetData sheetId="2"/>
      <sheetData sheetId="3">
        <row r="12">
          <cell r="F12">
            <v>22103</v>
          </cell>
          <cell r="H12">
            <v>28102</v>
          </cell>
        </row>
        <row r="16">
          <cell r="F16">
            <v>72306</v>
          </cell>
          <cell r="H16">
            <v>53532</v>
          </cell>
        </row>
        <row r="18">
          <cell r="F18">
            <v>1928</v>
          </cell>
          <cell r="H18">
            <v>2055</v>
          </cell>
        </row>
        <row r="20">
          <cell r="F20">
            <v>25194</v>
          </cell>
          <cell r="H20">
            <v>25194</v>
          </cell>
        </row>
        <row r="29">
          <cell r="F29">
            <v>21150</v>
          </cell>
          <cell r="H29">
            <v>21552</v>
          </cell>
        </row>
        <row r="33">
          <cell r="F33">
            <v>0</v>
          </cell>
          <cell r="H33">
            <v>0</v>
          </cell>
        </row>
        <row r="36">
          <cell r="F36">
            <v>0</v>
          </cell>
          <cell r="H36">
            <v>0</v>
          </cell>
        </row>
      </sheetData>
      <sheetData sheetId="4">
        <row r="12">
          <cell r="G12">
            <v>43240</v>
          </cell>
          <cell r="I12">
            <v>49641</v>
          </cell>
        </row>
        <row r="14">
          <cell r="B14" t="str">
            <v>(***)</v>
          </cell>
          <cell r="G14">
            <v>0</v>
          </cell>
          <cell r="I14">
            <v>0</v>
          </cell>
        </row>
        <row r="16">
          <cell r="G16">
            <v>52451</v>
          </cell>
          <cell r="I16">
            <v>30678</v>
          </cell>
        </row>
        <row r="17">
          <cell r="G17">
            <v>19855</v>
          </cell>
          <cell r="I17">
            <v>22854</v>
          </cell>
        </row>
        <row r="21">
          <cell r="G21">
            <v>1941</v>
          </cell>
          <cell r="I21">
            <v>2068</v>
          </cell>
        </row>
        <row r="23">
          <cell r="G23">
            <v>25194</v>
          </cell>
          <cell r="I23">
            <v>25194</v>
          </cell>
        </row>
        <row r="31">
          <cell r="G31">
            <v>0</v>
          </cell>
          <cell r="I31">
            <v>0</v>
          </cell>
        </row>
      </sheetData>
      <sheetData sheetId="5">
        <row r="61">
          <cell r="B61" t="str">
            <v>עודף בשנת הדוח</v>
          </cell>
        </row>
      </sheetData>
      <sheetData sheetId="6">
        <row r="18">
          <cell r="G18">
            <v>40912</v>
          </cell>
          <cell r="I18">
            <v>62850</v>
          </cell>
        </row>
        <row r="27">
          <cell r="G27">
            <v>43911</v>
          </cell>
          <cell r="I27">
            <v>39803</v>
          </cell>
        </row>
        <row r="34">
          <cell r="G34">
            <v>22854</v>
          </cell>
          <cell r="I34">
            <v>-193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6">
          <cell r="D36">
            <v>0.51793852601079426</v>
          </cell>
          <cell r="F36">
            <v>9.4138821504030051E-2</v>
          </cell>
        </row>
        <row r="37">
          <cell r="D37">
            <v>0.83600824375076288</v>
          </cell>
          <cell r="F37">
            <v>0.91360185408892236</v>
          </cell>
        </row>
        <row r="38">
          <cell r="D38">
            <v>0.78381932552610412</v>
          </cell>
          <cell r="F38">
            <v>0.49286963394483818</v>
          </cell>
        </row>
      </sheetData>
      <sheetData sheetId="22">
        <row r="14">
          <cell r="K14">
            <v>32769</v>
          </cell>
          <cell r="M14">
            <v>37992</v>
          </cell>
        </row>
      </sheetData>
      <sheetData sheetId="23"/>
      <sheetData sheetId="24"/>
      <sheetData sheetId="25"/>
      <sheetData sheetId="26">
        <row r="8">
          <cell r="E8">
            <v>50952</v>
          </cell>
          <cell r="G8">
            <v>51843</v>
          </cell>
          <cell r="M8">
            <v>61093</v>
          </cell>
        </row>
        <row r="9">
          <cell r="E9">
            <v>25333</v>
          </cell>
          <cell r="G9">
            <v>23671</v>
          </cell>
          <cell r="M9">
            <v>15702</v>
          </cell>
        </row>
        <row r="10">
          <cell r="E10">
            <v>0</v>
          </cell>
          <cell r="G10">
            <v>0</v>
          </cell>
          <cell r="M10">
            <v>0</v>
          </cell>
        </row>
        <row r="11">
          <cell r="E11">
            <v>12996</v>
          </cell>
          <cell r="G11">
            <v>13572</v>
          </cell>
          <cell r="M11">
            <v>16379</v>
          </cell>
        </row>
        <row r="12">
          <cell r="E12">
            <v>48934</v>
          </cell>
          <cell r="G12">
            <v>51033</v>
          </cell>
          <cell r="M12">
            <v>46430</v>
          </cell>
        </row>
        <row r="13">
          <cell r="E13">
            <v>29740</v>
          </cell>
          <cell r="G13">
            <v>30609</v>
          </cell>
          <cell r="M13">
            <v>27786</v>
          </cell>
        </row>
        <row r="14">
          <cell r="E14">
            <v>5779</v>
          </cell>
          <cell r="G14">
            <v>4862</v>
          </cell>
          <cell r="M14">
            <v>6558</v>
          </cell>
        </row>
        <row r="15">
          <cell r="E15">
            <v>31473</v>
          </cell>
          <cell r="G15">
            <v>31487</v>
          </cell>
          <cell r="M15">
            <v>28155</v>
          </cell>
        </row>
        <row r="16">
          <cell r="E16">
            <v>4311</v>
          </cell>
          <cell r="G16">
            <v>5236</v>
          </cell>
          <cell r="M16">
            <v>9755</v>
          </cell>
        </row>
        <row r="17">
          <cell r="E17">
            <v>0</v>
          </cell>
          <cell r="G17">
            <v>0</v>
          </cell>
          <cell r="M17">
            <v>0</v>
          </cell>
        </row>
        <row r="18">
          <cell r="E18">
            <v>10465</v>
          </cell>
          <cell r="G18">
            <v>10344</v>
          </cell>
          <cell r="M18">
            <v>2373</v>
          </cell>
        </row>
        <row r="19">
          <cell r="E19">
            <v>656</v>
          </cell>
          <cell r="G19">
            <v>868</v>
          </cell>
          <cell r="M19">
            <v>2311</v>
          </cell>
        </row>
        <row r="22">
          <cell r="E22">
            <v>0</v>
          </cell>
          <cell r="G22">
            <v>0</v>
          </cell>
          <cell r="M22">
            <v>1707</v>
          </cell>
        </row>
        <row r="26">
          <cell r="E26">
            <v>36649</v>
          </cell>
          <cell r="G26">
            <v>36007</v>
          </cell>
          <cell r="M26">
            <v>36312</v>
          </cell>
        </row>
        <row r="27">
          <cell r="E27">
            <v>40459</v>
          </cell>
          <cell r="G27">
            <v>42702</v>
          </cell>
          <cell r="M27">
            <v>42621</v>
          </cell>
        </row>
        <row r="28">
          <cell r="E28">
            <v>0</v>
          </cell>
          <cell r="G28">
            <v>0</v>
          </cell>
          <cell r="M28">
            <v>0</v>
          </cell>
        </row>
        <row r="31">
          <cell r="E31">
            <v>29212</v>
          </cell>
          <cell r="G31">
            <v>29670</v>
          </cell>
          <cell r="M31">
            <v>28635</v>
          </cell>
        </row>
        <row r="32">
          <cell r="E32">
            <v>38508</v>
          </cell>
          <cell r="G32">
            <v>38704</v>
          </cell>
          <cell r="M32">
            <v>40498</v>
          </cell>
        </row>
        <row r="33">
          <cell r="E33">
            <v>7997</v>
          </cell>
          <cell r="G33">
            <v>8266</v>
          </cell>
          <cell r="M33">
            <v>7598</v>
          </cell>
        </row>
        <row r="34">
          <cell r="E34">
            <v>34587</v>
          </cell>
          <cell r="G34">
            <v>34982</v>
          </cell>
          <cell r="M34">
            <v>32318</v>
          </cell>
        </row>
        <row r="35">
          <cell r="E35">
            <v>6244</v>
          </cell>
          <cell r="G35">
            <v>6244</v>
          </cell>
          <cell r="M35">
            <v>6570</v>
          </cell>
        </row>
        <row r="36">
          <cell r="E36">
            <v>1053</v>
          </cell>
          <cell r="G36">
            <v>978</v>
          </cell>
          <cell r="M36">
            <v>1210</v>
          </cell>
        </row>
        <row r="37">
          <cell r="E37">
            <v>1123</v>
          </cell>
          <cell r="G37">
            <v>2405</v>
          </cell>
          <cell r="M37">
            <v>5057</v>
          </cell>
        </row>
        <row r="38">
          <cell r="E38">
            <v>24807</v>
          </cell>
          <cell r="G38">
            <v>23165</v>
          </cell>
          <cell r="M38">
            <v>15152</v>
          </cell>
        </row>
        <row r="41">
          <cell r="E41">
            <v>0</v>
          </cell>
          <cell r="G41">
            <v>0</v>
          </cell>
          <cell r="M41">
            <v>1707</v>
          </cell>
        </row>
      </sheetData>
      <sheetData sheetId="27">
        <row r="36">
          <cell r="G36">
            <v>459.35598326984797</v>
          </cell>
          <cell r="M36">
            <v>455.95100182869908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0">
          <cell r="C80">
            <v>63111.729999999996</v>
          </cell>
          <cell r="D80">
            <v>62039</v>
          </cell>
        </row>
        <row r="81">
          <cell r="C81">
            <v>80373.8</v>
          </cell>
          <cell r="D81">
            <v>78111.73</v>
          </cell>
        </row>
        <row r="82">
          <cell r="C82">
            <v>-26866</v>
          </cell>
          <cell r="D82">
            <v>-15702</v>
          </cell>
        </row>
        <row r="83">
          <cell r="C83">
            <v>-49983</v>
          </cell>
          <cell r="D83">
            <v>0</v>
          </cell>
        </row>
        <row r="85">
          <cell r="C85">
            <v>52231</v>
          </cell>
          <cell r="D85">
            <v>61337</v>
          </cell>
        </row>
        <row r="88">
          <cell r="C88">
            <v>50430</v>
          </cell>
          <cell r="D88">
            <v>820</v>
          </cell>
        </row>
      </sheetData>
      <sheetData sheetId="37"/>
      <sheetData sheetId="38"/>
      <sheetData sheetId="39"/>
      <sheetData sheetId="40"/>
      <sheetData sheetId="41">
        <row r="51">
          <cell r="E51" t="str">
            <v>חודש אוקטובר 2020</v>
          </cell>
        </row>
      </sheetData>
      <sheetData sheetId="42">
        <row r="3">
          <cell r="C3">
            <v>26027</v>
          </cell>
        </row>
        <row r="4">
          <cell r="C4">
            <v>26477</v>
          </cell>
          <cell r="G4">
            <v>5800</v>
          </cell>
        </row>
        <row r="5">
          <cell r="C5">
            <v>8665</v>
          </cell>
          <cell r="G5">
            <v>4</v>
          </cell>
        </row>
        <row r="8">
          <cell r="B8" t="str">
            <v>תקציב הרשות אושר על ידי משרד הפנים</v>
          </cell>
        </row>
        <row r="14">
          <cell r="B14" t="str">
            <v>חוות דעת חלקה</v>
          </cell>
        </row>
        <row r="47">
          <cell r="B47" t="str">
            <v/>
          </cell>
        </row>
        <row r="95">
          <cell r="B95" t="str">
            <v>חוות דעת חלקה</v>
          </cell>
        </row>
      </sheetData>
      <sheetData sheetId="43"/>
      <sheetData sheetId="44"/>
      <sheetData sheetId="45"/>
      <sheetData sheetId="46">
        <row r="26">
          <cell r="D26">
            <v>785850</v>
          </cell>
          <cell r="E26">
            <v>754000</v>
          </cell>
        </row>
        <row r="27">
          <cell r="D27">
            <v>33394</v>
          </cell>
          <cell r="E27">
            <v>31239</v>
          </cell>
        </row>
      </sheetData>
      <sheetData sheetId="47"/>
      <sheetData sheetId="48">
        <row r="6">
          <cell r="D6" t="str">
            <v>עיריית קרית מלאכי</v>
          </cell>
        </row>
        <row r="10">
          <cell r="D10">
            <v>2020</v>
          </cell>
        </row>
        <row r="12">
          <cell r="D12">
            <v>2019</v>
          </cell>
        </row>
      </sheetData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6"/>
  <sheetViews>
    <sheetView rightToLeft="1" tabSelected="1" workbookViewId="0">
      <selection activeCell="T15" sqref="T15"/>
    </sheetView>
  </sheetViews>
  <sheetFormatPr defaultRowHeight="14.25" x14ac:dyDescent="0.2"/>
  <cols>
    <col min="1" max="1" width="9" style="190"/>
    <col min="2" max="2" width="24.75" style="197" customWidth="1"/>
    <col min="3" max="4" width="10.75" style="190" customWidth="1"/>
    <col min="5" max="5" width="8" style="190"/>
    <col min="6" max="6" width="10.75" style="190" customWidth="1"/>
    <col min="7" max="7" width="7.875" style="190" customWidth="1"/>
    <col min="8" max="8" width="1.875" style="190" customWidth="1"/>
    <col min="9" max="9" width="23.625" style="190" customWidth="1"/>
    <col min="10" max="11" width="10.75" style="190" customWidth="1"/>
    <col min="12" max="15" width="9" style="190"/>
    <col min="16" max="16" width="9" style="7"/>
  </cols>
  <sheetData>
    <row r="1" spans="1:14" ht="15.75" x14ac:dyDescent="0.2">
      <c r="A1" s="186"/>
      <c r="B1" s="187"/>
      <c r="C1" s="188"/>
      <c r="D1" s="188"/>
      <c r="E1" s="189" t="str">
        <f>'[1]הגדרות כלליות'!D6</f>
        <v>עיריית קרית מלאכי</v>
      </c>
      <c r="F1" s="189"/>
      <c r="G1" s="189"/>
      <c r="H1" s="189"/>
      <c r="I1" s="189"/>
      <c r="J1" s="188"/>
      <c r="K1" s="188"/>
      <c r="N1" s="191"/>
    </row>
    <row r="2" spans="1:14" ht="15.75" x14ac:dyDescent="0.2">
      <c r="A2" s="186"/>
      <c r="B2" s="192"/>
      <c r="C2" s="193"/>
      <c r="D2" s="193"/>
      <c r="E2" s="189" t="str">
        <f>CONCATENATE("תמצית הדוחות הכספיים לשנת ",'[1]הגדרות כלליות'!D10)</f>
        <v>תמצית הדוחות הכספיים לשנת 2020</v>
      </c>
      <c r="F2" s="189"/>
      <c r="G2" s="189"/>
      <c r="H2" s="189"/>
      <c r="I2" s="189"/>
      <c r="J2" s="193"/>
      <c r="K2" s="193"/>
      <c r="N2" s="191"/>
    </row>
    <row r="3" spans="1:14" ht="15.75" x14ac:dyDescent="0.2">
      <c r="A3" s="186"/>
      <c r="B3" s="194"/>
      <c r="C3" s="194"/>
      <c r="D3" s="194"/>
      <c r="E3" s="195" t="s">
        <v>0</v>
      </c>
      <c r="F3" s="195"/>
      <c r="G3" s="195"/>
      <c r="H3" s="195"/>
      <c r="I3" s="195"/>
      <c r="J3" s="194"/>
      <c r="K3" s="194"/>
      <c r="N3" s="191"/>
    </row>
    <row r="4" spans="1:14" x14ac:dyDescent="0.2">
      <c r="A4" s="196" t="s">
        <v>1</v>
      </c>
      <c r="C4" s="197"/>
      <c r="D4" s="197"/>
      <c r="E4" s="197"/>
      <c r="F4" s="197"/>
      <c r="G4" s="197"/>
      <c r="H4" s="197"/>
      <c r="I4" s="197"/>
      <c r="J4" s="197"/>
      <c r="K4" s="197"/>
      <c r="N4" s="191"/>
    </row>
    <row r="5" spans="1:14" x14ac:dyDescent="0.2">
      <c r="B5" s="198" t="s">
        <v>2</v>
      </c>
      <c r="C5" s="199">
        <f>'[1]נתונים כלליים'!$C$3</f>
        <v>26027</v>
      </c>
      <c r="D5" s="199"/>
      <c r="E5" s="200"/>
      <c r="F5" s="200"/>
      <c r="G5" s="200"/>
      <c r="H5" s="200"/>
      <c r="I5" s="197"/>
      <c r="J5" s="197"/>
      <c r="K5" s="197"/>
      <c r="N5" s="191"/>
    </row>
    <row r="6" spans="1:14" x14ac:dyDescent="0.2">
      <c r="B6" s="198" t="s">
        <v>3</v>
      </c>
      <c r="C6" s="199">
        <f>'[1]נתונים כלליים'!$C$4</f>
        <v>26477</v>
      </c>
      <c r="D6" s="199"/>
      <c r="E6" s="201" t="s">
        <v>4</v>
      </c>
      <c r="F6" s="201"/>
      <c r="G6" s="202">
        <f>'[1]נתונים כלליים'!$G$4</f>
        <v>5800</v>
      </c>
      <c r="H6" s="202"/>
      <c r="I6" s="197"/>
      <c r="J6" s="197"/>
      <c r="K6" s="197"/>
      <c r="N6" s="191"/>
    </row>
    <row r="7" spans="1:14" x14ac:dyDescent="0.2">
      <c r="B7" s="198" t="s">
        <v>5</v>
      </c>
      <c r="C7" s="199">
        <f>'[1]נתונים כלליים'!$C$5</f>
        <v>8665</v>
      </c>
      <c r="D7" s="199"/>
      <c r="E7" s="201" t="s">
        <v>6</v>
      </c>
      <c r="F7" s="201"/>
      <c r="G7" s="203">
        <f>'[1]נתונים כלליים'!$G$5</f>
        <v>4</v>
      </c>
      <c r="H7" s="203"/>
      <c r="I7" s="197"/>
      <c r="J7" s="197"/>
      <c r="K7" s="197"/>
      <c r="N7" s="191"/>
    </row>
    <row r="8" spans="1:14" x14ac:dyDescent="0.2">
      <c r="B8" s="204"/>
      <c r="C8" s="205"/>
      <c r="D8" s="205"/>
      <c r="E8" s="205"/>
      <c r="F8" s="205"/>
      <c r="G8" s="205"/>
      <c r="H8" s="205"/>
      <c r="I8" s="197"/>
      <c r="J8" s="197"/>
      <c r="K8" s="197"/>
      <c r="N8" s="191"/>
    </row>
    <row r="9" spans="1:14" x14ac:dyDescent="0.2">
      <c r="B9" s="206" t="s">
        <v>7</v>
      </c>
      <c r="C9" s="206"/>
      <c r="D9" s="206"/>
      <c r="E9" s="206"/>
      <c r="F9" s="206"/>
      <c r="G9" s="206"/>
      <c r="H9" s="207"/>
      <c r="I9" s="208" t="s">
        <v>8</v>
      </c>
      <c r="J9" s="208"/>
      <c r="K9" s="208"/>
      <c r="N9" s="191"/>
    </row>
    <row r="10" spans="1:14" x14ac:dyDescent="0.2">
      <c r="B10" s="209" t="s">
        <v>9</v>
      </c>
      <c r="C10" s="210" t="str">
        <f>CONCATENATE("תקציב ",'[1]הגדרות כלליות'!D10)</f>
        <v>תקציב 2020</v>
      </c>
      <c r="D10" s="210" t="str">
        <f>CONCATENATE("ביצוע ",'[1]הגדרות כלליות'!D10)</f>
        <v>ביצוע 2020</v>
      </c>
      <c r="E10" s="210" t="s">
        <v>10</v>
      </c>
      <c r="F10" s="210" t="str">
        <f>CONCATENATE("ביצוע ",'[1]הגדרות כלליות'!D12)</f>
        <v>ביצוע 2019</v>
      </c>
      <c r="G10" s="211" t="s">
        <v>10</v>
      </c>
      <c r="H10" s="212"/>
      <c r="I10" s="213" t="s">
        <v>11</v>
      </c>
      <c r="J10" s="214">
        <f>'[1]הגדרות כלליות'!D10</f>
        <v>2020</v>
      </c>
      <c r="K10" s="215">
        <f>'[1]הגדרות כלליות'!D12</f>
        <v>2019</v>
      </c>
      <c r="N10" s="191"/>
    </row>
    <row r="11" spans="1:14" x14ac:dyDescent="0.2">
      <c r="B11" s="216" t="s">
        <v>12</v>
      </c>
      <c r="C11" s="217">
        <f>'[1]נספח 3 לטופס 2'!E8+'[1]נספח 3 לטופס 2'!E9+'[1]נספח 3 לטופס 2'!E10+'[1]נספח 3 לטופס 2'!E11+'[1]נספח 3 לטופס 2'!E19</f>
        <v>89937</v>
      </c>
      <c r="D11" s="218">
        <f>'[1]נספח 3 לטופס 2'!G8+'[1]נספח 3 לטופס 2'!G9+'[1]נספח 3 לטופס 2'!G10+'[1]נספח 3 לטופס 2'!G11+'[1]נספח 3 לטופס 2'!G19</f>
        <v>89954</v>
      </c>
      <c r="E11" s="219">
        <f>IF($D$16=0,0,D11/$D$16)</f>
        <v>0.40243373224471535</v>
      </c>
      <c r="F11" s="218">
        <f>'[1]נספח 3 לטופס 2'!M8+'[1]נספח 3 לטופס 2'!M9+'[1]נספח 3 לטופס 2'!M10+'[1]נספח 3 לטופס 2'!M11+'[1]נספח 3 לטופס 2'!M19</f>
        <v>95485</v>
      </c>
      <c r="G11" s="220">
        <f>IF($F$16=0,0,F11/$F$16)</f>
        <v>0.43750486829263824</v>
      </c>
      <c r="H11" s="212"/>
      <c r="I11" s="221" t="s">
        <v>13</v>
      </c>
      <c r="J11" s="217">
        <f>'[1]טופס 1 אקטיב'!$F$12+'[1]טופס 1 אקטיב'!F14</f>
        <v>22103</v>
      </c>
      <c r="K11" s="222">
        <f>'[1]טופס 1 אקטיב'!$H$12+'[1]טופס 1 אקטיב'!H14</f>
        <v>28102</v>
      </c>
      <c r="N11" s="191"/>
    </row>
    <row r="12" spans="1:14" x14ac:dyDescent="0.2">
      <c r="B12" s="216" t="s">
        <v>14</v>
      </c>
      <c r="C12" s="223">
        <f>'[1]נספח 3 לטופס 2'!E12</f>
        <v>48934</v>
      </c>
      <c r="D12" s="224">
        <f>'[1]נספח 3 לטופס 2'!G12</f>
        <v>51033</v>
      </c>
      <c r="E12" s="225">
        <f>IF($D$16=0,0,D12/$D$16)</f>
        <v>0.22831003243485068</v>
      </c>
      <c r="F12" s="224">
        <f>'[1]נספח 3 לטופס 2'!M12</f>
        <v>46430</v>
      </c>
      <c r="G12" s="226">
        <f>IF($F$16=0,0,F12/$F$16)</f>
        <v>0.21273866088733512</v>
      </c>
      <c r="H12" s="212"/>
      <c r="I12" s="221" t="s">
        <v>15</v>
      </c>
      <c r="J12" s="223">
        <f>'[1]טופס 1 אקטיב'!$F$16+'[1]טופס 1 אקטיב'!F18</f>
        <v>74234</v>
      </c>
      <c r="K12" s="227">
        <f>'[1]טופס 1 אקטיב'!$H$16+'[1]טופס 1 אקטיב'!H18</f>
        <v>55587</v>
      </c>
      <c r="N12" s="191"/>
    </row>
    <row r="13" spans="1:14" x14ac:dyDescent="0.2">
      <c r="B13" s="216" t="s">
        <v>16</v>
      </c>
      <c r="C13" s="223">
        <f>'[1]נספח 3 לטופס 2'!E13</f>
        <v>29740</v>
      </c>
      <c r="D13" s="224">
        <f>'[1]נספח 3 לטופס 2'!G13</f>
        <v>30609</v>
      </c>
      <c r="E13" s="225">
        <f>IF($D$16=0,0,D13/$D$16)</f>
        <v>0.1369377027178168</v>
      </c>
      <c r="F13" s="224">
        <f>'[1]נספח 3 לטופס 2'!M13</f>
        <v>27786</v>
      </c>
      <c r="G13" s="226">
        <f>IF($F$16=0,0,F13/$F$16)</f>
        <v>0.12731329811362252</v>
      </c>
      <c r="H13" s="212"/>
      <c r="I13" s="228" t="s">
        <v>17</v>
      </c>
      <c r="J13" s="229">
        <f>'[1]טופס 1 אקטיב'!$F$20+'[1]טופס 1 אקטיב'!$F$22</f>
        <v>25194</v>
      </c>
      <c r="K13" s="230">
        <f>'[1]טופס 1 אקטיב'!$H$20+'[1]טופס 1 אקטיב'!$H$22</f>
        <v>25194</v>
      </c>
      <c r="N13" s="191"/>
    </row>
    <row r="14" spans="1:14" ht="25.5" x14ac:dyDescent="0.2">
      <c r="B14" s="231" t="s">
        <v>18</v>
      </c>
      <c r="C14" s="223">
        <f>'[1]נספח 3 לטופס 2'!E14+'[1]נספח 3 לטופס 2'!E18</f>
        <v>16244</v>
      </c>
      <c r="D14" s="224">
        <f>'[1]נספח 3 לטופס 2'!G14+'[1]נספח 3 לטופס 2'!G18</f>
        <v>15206</v>
      </c>
      <c r="E14" s="225">
        <f>IF($D$16=0,0,1-(E11+E12 + E13+E15))</f>
        <v>6.8028184766804611E-2</v>
      </c>
      <c r="F14" s="224">
        <f>'[1]נספח 3 לטופס 2'!M14+'[1]נספח 3 לטופס 2'!M18</f>
        <v>8931</v>
      </c>
      <c r="G14" s="226">
        <f>IF($F$16=0,0,1 - (G11+G12+G13+G15))</f>
        <v>4.0921149695989589E-2</v>
      </c>
      <c r="H14" s="212"/>
      <c r="I14" s="221" t="s">
        <v>19</v>
      </c>
      <c r="J14" s="223">
        <f>'[1]טופס 1 אקטיב'!$F$29+'[1]טופס 1 אקטיב'!$F$31</f>
        <v>21150</v>
      </c>
      <c r="K14" s="227">
        <f>'[1]טופס 1 אקטיב'!$H$29+'[1]טופס 1 אקטיב'!$H$31</f>
        <v>21552</v>
      </c>
      <c r="N14" s="191"/>
    </row>
    <row r="15" spans="1:14" x14ac:dyDescent="0.2">
      <c r="B15" s="216" t="s">
        <v>20</v>
      </c>
      <c r="C15" s="232">
        <f>'[1]נספח 3 לטופס 2'!E15+'[1]נספח 3 לטופס 2'!E16+'[1]נספח 3 לטופס 2'!E22+'[1]נספח 3 לטופס 2'!E17</f>
        <v>35784</v>
      </c>
      <c r="D15" s="233">
        <f>'[1]נספח 3 לטופס 2'!G15+'[1]נספח 3 לטופס 2'!G16+'[1]נספח 3 לטופס 2'!G22+'[1]נספח 3 לטופס 2'!G17</f>
        <v>36723</v>
      </c>
      <c r="E15" s="234">
        <f>IF($D$16=0,0,D15/$D$16)</f>
        <v>0.16429034783581256</v>
      </c>
      <c r="F15" s="233">
        <f>'[1]נספח 3 לטופס 2'!M15+'[1]נספח 3 לטופס 2'!M16+'[1]נספח 3 לטופס 2'!M22+'[1]נספח 3 לטופס 2'!M17</f>
        <v>39617</v>
      </c>
      <c r="G15" s="235">
        <f>IF($F$16=0,0,F15/$F$16)</f>
        <v>0.1815220230104147</v>
      </c>
      <c r="H15" s="212"/>
      <c r="I15" s="221" t="s">
        <v>21</v>
      </c>
      <c r="J15" s="223">
        <f>'[1]טופס 1 אקטיב'!$F$33+'[1]טופס 1 אקטיב'!$F$34</f>
        <v>0</v>
      </c>
      <c r="K15" s="227">
        <f>'[1]טופס 1 אקטיב'!$H$33+'[1]טופס 1 אקטיב'!$H$34</f>
        <v>0</v>
      </c>
      <c r="N15" s="191"/>
    </row>
    <row r="16" spans="1:14" ht="15" thickBot="1" x14ac:dyDescent="0.25">
      <c r="B16" s="209" t="s">
        <v>22</v>
      </c>
      <c r="C16" s="236">
        <f>SUM(C11:C15)</f>
        <v>220639</v>
      </c>
      <c r="D16" s="237">
        <f>SUM(D11:D15)</f>
        <v>223525</v>
      </c>
      <c r="E16" s="238">
        <f>SUM(E11:E15)</f>
        <v>1</v>
      </c>
      <c r="F16" s="237">
        <f>SUM(F11:F15)</f>
        <v>218249</v>
      </c>
      <c r="G16" s="239">
        <f>SUM(G11:G15)</f>
        <v>1</v>
      </c>
      <c r="H16" s="212"/>
      <c r="I16" s="221" t="s">
        <v>23</v>
      </c>
      <c r="J16" s="223">
        <f>'[1]טופס 1 אקטיב'!$F$36+'[1]טופס 1 אקטיב'!$F$37</f>
        <v>0</v>
      </c>
      <c r="K16" s="227">
        <f>'[1]טופס 1 אקטיב'!$H$36+'[1]טופס 1 אקטיב'!$H$37</f>
        <v>0</v>
      </c>
      <c r="N16" s="191"/>
    </row>
    <row r="17" spans="2:14" ht="15.75" thickTop="1" thickBot="1" x14ac:dyDescent="0.25">
      <c r="B17" s="221"/>
      <c r="C17" s="240"/>
      <c r="D17" s="240"/>
      <c r="E17" s="240"/>
      <c r="F17" s="240"/>
      <c r="G17" s="241"/>
      <c r="H17" s="212"/>
      <c r="I17" s="209" t="s">
        <v>22</v>
      </c>
      <c r="J17" s="236">
        <f>SUM(J11:J16)</f>
        <v>142681</v>
      </c>
      <c r="K17" s="242">
        <f>SUM(K11:K16)</f>
        <v>130435</v>
      </c>
      <c r="N17" s="191"/>
    </row>
    <row r="18" spans="2:14" ht="15" thickTop="1" x14ac:dyDescent="0.2">
      <c r="B18" s="209" t="s">
        <v>24</v>
      </c>
      <c r="C18" s="210" t="str">
        <f>$C10</f>
        <v>תקציב 2020</v>
      </c>
      <c r="D18" s="210" t="str">
        <f>$D10</f>
        <v>ביצוע 2020</v>
      </c>
      <c r="E18" s="210" t="s">
        <v>10</v>
      </c>
      <c r="F18" s="210" t="str">
        <f>$F10</f>
        <v>ביצוע 2019</v>
      </c>
      <c r="G18" s="211" t="s">
        <v>10</v>
      </c>
      <c r="H18" s="212"/>
      <c r="I18" s="209"/>
      <c r="J18" s="243"/>
      <c r="K18" s="244"/>
      <c r="N18" s="191"/>
    </row>
    <row r="19" spans="2:14" x14ac:dyDescent="0.2">
      <c r="B19" s="216" t="s">
        <v>25</v>
      </c>
      <c r="C19" s="217">
        <f>'[1]נספח 3 לטופס 2'!E26</f>
        <v>36649</v>
      </c>
      <c r="D19" s="218">
        <f>'[1]נספח 3 לטופס 2'!G26</f>
        <v>36007</v>
      </c>
      <c r="E19" s="219">
        <f>IF($D$27=0,0,D19/$D$27)</f>
        <v>0.16137735688387123</v>
      </c>
      <c r="F19" s="218">
        <f>'[1]נספח 3 לטופס 2'!M26</f>
        <v>36312</v>
      </c>
      <c r="G19" s="220">
        <f>IF($F$27=0,0,F19/$F$27)</f>
        <v>0.16681520410882128</v>
      </c>
      <c r="H19" s="212"/>
      <c r="I19" s="213" t="s">
        <v>26</v>
      </c>
      <c r="J19" s="214">
        <f>J10</f>
        <v>2020</v>
      </c>
      <c r="K19" s="215">
        <f>K10</f>
        <v>2019</v>
      </c>
      <c r="N19" s="191"/>
    </row>
    <row r="20" spans="2:14" x14ac:dyDescent="0.2">
      <c r="B20" s="216" t="s">
        <v>27</v>
      </c>
      <c r="C20" s="223">
        <f>'[1]נספח 3 לטופס 2'!E27+'[1]נספח 3 לטופס 2'!E28+'[1]נספח 3 לטופס 2'!E38+'[1]נספח 3 לטופס 2'!E37+'[1]נספח 3 לטופס 2'!E41</f>
        <v>66389</v>
      </c>
      <c r="D20" s="224">
        <f>'[1]נספח 3 לטופס 2'!G27+'[1]נספח 3 לטופס 2'!G28+'[1]נספח 3 לטופס 2'!G37+'[1]נספח 3 לטופס 2'!G38+'[1]נספח 3 לטופס 2'!G41</f>
        <v>68272</v>
      </c>
      <c r="E20" s="225">
        <f>IF($D$27=0,0,1-(E19+E21+E22+E23+E24+E25+E26))</f>
        <v>0.30598369509194479</v>
      </c>
      <c r="F20" s="224">
        <f>'[1]נספח 3 לטופס 2'!M27+'[1]נספח 3 לטופס 2'!M28+'[1]נספח 3 לטופס 2'!M37+'[1]נספח 3 לטופס 2'!M38+'[1]נספח 3 לטופס 2'!M41</f>
        <v>64537</v>
      </c>
      <c r="G20" s="226">
        <f>IF($F$27=0,0,1 - (G19+G21+G22+G23+G24+G25+G26))</f>
        <v>0.29647920322678445</v>
      </c>
      <c r="H20" s="212"/>
      <c r="I20" s="221" t="s">
        <v>28</v>
      </c>
      <c r="J20" s="217">
        <f>'[1]טופס 1 פאסיב'!$G$12</f>
        <v>43240</v>
      </c>
      <c r="K20" s="222">
        <f>'[1]טופס 1 פאסיב'!$I$12</f>
        <v>49641</v>
      </c>
      <c r="N20" s="191"/>
    </row>
    <row r="21" spans="2:14" x14ac:dyDescent="0.2">
      <c r="B21" s="216" t="s">
        <v>29</v>
      </c>
      <c r="C21" s="223">
        <f>'[1]נספח 3 לטופס 2'!E31</f>
        <v>29212</v>
      </c>
      <c r="D21" s="224">
        <f>'[1]נספח 3 לטופס 2'!G31</f>
        <v>29670</v>
      </c>
      <c r="E21" s="225">
        <f t="shared" ref="E21:E26" si="0">IF($D$27=0,0,D21/$D$27)</f>
        <v>0.13297598185754045</v>
      </c>
      <c r="F21" s="224">
        <f>'[1]נספח 3 לטופס 2'!M31</f>
        <v>28635</v>
      </c>
      <c r="G21" s="226">
        <f t="shared" ref="G21:G26" si="1">IF($F$27=0,0,F21/$F$27)</f>
        <v>0.13154751513703727</v>
      </c>
      <c r="H21" s="212"/>
      <c r="I21" s="221" t="str">
        <f>'[1]טופס 1 פאסיב'!B14</f>
        <v>(***)</v>
      </c>
      <c r="J21" s="217">
        <f>'[1]טופס 1 פאסיב'!$G$14</f>
        <v>0</v>
      </c>
      <c r="K21" s="222">
        <f>'[1]טופס 1 פאסיב'!$I$14</f>
        <v>0</v>
      </c>
      <c r="N21" s="191"/>
    </row>
    <row r="22" spans="2:14" x14ac:dyDescent="0.2">
      <c r="B22" s="216" t="s">
        <v>30</v>
      </c>
      <c r="C22" s="223">
        <f>'[1]נספח 3 לטופס 2'!E32</f>
        <v>38508</v>
      </c>
      <c r="D22" s="224">
        <f>'[1]נספח 3 לטופס 2'!G32</f>
        <v>38704</v>
      </c>
      <c r="E22" s="225">
        <f t="shared" si="0"/>
        <v>0.173464860189223</v>
      </c>
      <c r="F22" s="224">
        <f>'[1]נספח 3 לטופס 2'!M32</f>
        <v>40498</v>
      </c>
      <c r="G22" s="226">
        <f t="shared" si="1"/>
        <v>0.1860454432694163</v>
      </c>
      <c r="H22" s="212"/>
      <c r="I22" s="221" t="s">
        <v>31</v>
      </c>
      <c r="J22" s="223">
        <f>'[1]טופס 1 פאסיב'!$G$16+'[1]טופס 1 פאסיב'!G21+'[1]טופס 1 פאסיב'!$G$18</f>
        <v>54392</v>
      </c>
      <c r="K22" s="227">
        <f>'[1]טופס 1 פאסיב'!$I$16+'[1]טופס 1 פאסיב'!$I$21+'[1]טופס 1 פאסיב'!$I$18</f>
        <v>32746</v>
      </c>
      <c r="N22" s="191"/>
    </row>
    <row r="23" spans="2:14" x14ac:dyDescent="0.2">
      <c r="B23" s="216" t="s">
        <v>32</v>
      </c>
      <c r="C23" s="223">
        <f>'[1]נספח 3 לטופס 2'!E33</f>
        <v>7997</v>
      </c>
      <c r="D23" s="224">
        <f>'[1]נספח 3 לטופס 2'!G33</f>
        <v>8266</v>
      </c>
      <c r="E23" s="225">
        <f t="shared" si="0"/>
        <v>3.7046830671871568E-2</v>
      </c>
      <c r="F23" s="224">
        <f>'[1]נספח 3 לטופס 2'!M33</f>
        <v>7598</v>
      </c>
      <c r="G23" s="226">
        <f t="shared" si="1"/>
        <v>3.4904767592499011E-2</v>
      </c>
      <c r="H23" s="212"/>
      <c r="I23" s="221" t="s">
        <v>33</v>
      </c>
      <c r="J23" s="223">
        <f>'[1]טופס 1 פאסיב'!$G$23+'[1]טופס 1 פאסיב'!$G$24</f>
        <v>25194</v>
      </c>
      <c r="K23" s="227">
        <f>'[1]טופס 1 פאסיב'!$I$23+'[1]טופס 1 פאסיב'!$I$24</f>
        <v>25194</v>
      </c>
      <c r="N23" s="191"/>
    </row>
    <row r="24" spans="2:14" x14ac:dyDescent="0.2">
      <c r="B24" s="216" t="s">
        <v>34</v>
      </c>
      <c r="C24" s="223">
        <f>'[1]נספח 3 לטופס 2'!E34</f>
        <v>34587</v>
      </c>
      <c r="D24" s="224">
        <f>'[1]נספח 3 לטופס 2'!G34</f>
        <v>34982</v>
      </c>
      <c r="E24" s="225">
        <f t="shared" si="0"/>
        <v>0.15678347817123292</v>
      </c>
      <c r="F24" s="224">
        <f>'[1]נספח 3 לטופס 2'!M34</f>
        <v>32318</v>
      </c>
      <c r="G24" s="226">
        <f t="shared" si="1"/>
        <v>0.14846700171813412</v>
      </c>
      <c r="H24" s="212"/>
      <c r="I24" s="221" t="s">
        <v>35</v>
      </c>
      <c r="J24" s="223">
        <f>'[1]טופס 1 פאסיב'!$G$31+'[1]טופס 1 פאסיב'!$G$33</f>
        <v>0</v>
      </c>
      <c r="K24" s="227">
        <f>'[1]טופס 1 פאסיב'!$I$31+'[1]טופס 1 פאסיב'!$I$33</f>
        <v>0</v>
      </c>
      <c r="N24" s="191"/>
    </row>
    <row r="25" spans="2:14" x14ac:dyDescent="0.2">
      <c r="B25" s="216" t="s">
        <v>36</v>
      </c>
      <c r="C25" s="223">
        <f>'[1]נספח 3 לטופס 2'!E36</f>
        <v>1053</v>
      </c>
      <c r="D25" s="224">
        <f>'[1]נספח 3 לטופס 2'!G36</f>
        <v>978</v>
      </c>
      <c r="E25" s="225">
        <f t="shared" si="0"/>
        <v>4.3832325667905146E-3</v>
      </c>
      <c r="F25" s="224">
        <f>'[1]נספח 3 לטופס 2'!M36</f>
        <v>1210</v>
      </c>
      <c r="G25" s="226">
        <f t="shared" si="1"/>
        <v>5.5586692270234014E-3</v>
      </c>
      <c r="H25" s="212"/>
      <c r="I25" s="221" t="s">
        <v>37</v>
      </c>
      <c r="J25" s="229">
        <f>'[1]טופס 1 פאסיב'!$G$17</f>
        <v>19855</v>
      </c>
      <c r="K25" s="230">
        <f>'[1]טופס 1 פאסיב'!$I$17</f>
        <v>22854</v>
      </c>
      <c r="N25" s="191"/>
    </row>
    <row r="26" spans="2:14" ht="15" thickBot="1" x14ac:dyDescent="0.25">
      <c r="B26" s="216" t="s">
        <v>38</v>
      </c>
      <c r="C26" s="232">
        <f>'[1]נספח 3 לטופס 2'!E35</f>
        <v>6244</v>
      </c>
      <c r="D26" s="233">
        <f>'[1]נספח 3 לטופס 2'!G35</f>
        <v>6244</v>
      </c>
      <c r="E26" s="225">
        <f t="shared" si="0"/>
        <v>2.7984564567525537E-2</v>
      </c>
      <c r="F26" s="233">
        <f>'[1]נספח 3 לטופס 2'!M35</f>
        <v>6570</v>
      </c>
      <c r="G26" s="226">
        <f t="shared" si="1"/>
        <v>3.0182195720284088E-2</v>
      </c>
      <c r="H26" s="212"/>
      <c r="I26" s="245" t="s">
        <v>22</v>
      </c>
      <c r="J26" s="236">
        <f>SUM(J20:J25)</f>
        <v>142681</v>
      </c>
      <c r="K26" s="242">
        <f>SUM(K20:K25)</f>
        <v>130435</v>
      </c>
      <c r="N26" s="191"/>
    </row>
    <row r="27" spans="2:14" ht="15.75" thickTop="1" thickBot="1" x14ac:dyDescent="0.25">
      <c r="B27" s="209" t="s">
        <v>22</v>
      </c>
      <c r="C27" s="236">
        <f>SUM(C19:C26)</f>
        <v>220639</v>
      </c>
      <c r="D27" s="237">
        <f>SUM(D19:D26)</f>
        <v>223123</v>
      </c>
      <c r="E27" s="238">
        <f>SUM(E19:E26)</f>
        <v>1</v>
      </c>
      <c r="F27" s="237">
        <f>SUM(F19:F26)</f>
        <v>217678</v>
      </c>
      <c r="G27" s="239">
        <f>SUM(G19:G26)</f>
        <v>1</v>
      </c>
      <c r="H27" s="212"/>
      <c r="I27" s="221"/>
      <c r="J27" s="200"/>
      <c r="K27" s="246"/>
      <c r="N27" s="191"/>
    </row>
    <row r="28" spans="2:14" ht="15" thickTop="1" x14ac:dyDescent="0.2">
      <c r="B28" s="216"/>
      <c r="C28" s="200"/>
      <c r="D28" s="247"/>
      <c r="E28" s="247"/>
      <c r="F28" s="247"/>
      <c r="G28" s="248"/>
      <c r="H28" s="212"/>
      <c r="I28" s="221"/>
      <c r="J28" s="214">
        <f>J10</f>
        <v>2020</v>
      </c>
      <c r="K28" s="215">
        <f>K10</f>
        <v>2019</v>
      </c>
      <c r="N28" s="191"/>
    </row>
    <row r="29" spans="2:14" ht="15" thickBot="1" x14ac:dyDescent="0.25">
      <c r="B29" s="209" t="str">
        <f>'[1]טופס 2'!B61</f>
        <v>עודף בשנת הדוח</v>
      </c>
      <c r="C29" s="249">
        <f>C16-C27</f>
        <v>0</v>
      </c>
      <c r="D29" s="250">
        <f>D16-D27</f>
        <v>402</v>
      </c>
      <c r="E29" s="251"/>
      <c r="F29" s="252">
        <f>F16-F27</f>
        <v>571</v>
      </c>
      <c r="G29" s="248"/>
      <c r="H29" s="212"/>
      <c r="I29" s="245" t="s">
        <v>39</v>
      </c>
      <c r="J29" s="253">
        <f>'[1]נספח 3 לטופס 1'!$K$14</f>
        <v>32769</v>
      </c>
      <c r="K29" s="254">
        <f>'[1]נספח 3 לטופס 1'!$M$14</f>
        <v>37992</v>
      </c>
      <c r="N29" s="191"/>
    </row>
    <row r="30" spans="2:14" ht="15" thickTop="1" x14ac:dyDescent="0.2">
      <c r="B30" s="255"/>
      <c r="C30" s="256"/>
      <c r="D30" s="256"/>
      <c r="E30" s="256"/>
      <c r="F30" s="256"/>
      <c r="G30" s="257"/>
      <c r="H30" s="212"/>
      <c r="I30" s="258"/>
      <c r="J30" s="259"/>
      <c r="K30" s="257"/>
      <c r="N30" s="191"/>
    </row>
    <row r="31" spans="2:14" x14ac:dyDescent="0.2">
      <c r="B31" s="190"/>
      <c r="N31" s="191"/>
    </row>
    <row r="32" spans="2:14" x14ac:dyDescent="0.2">
      <c r="B32" s="216"/>
      <c r="C32" s="214">
        <f>J10</f>
        <v>2020</v>
      </c>
      <c r="D32" s="215">
        <f>K10</f>
        <v>2019</v>
      </c>
      <c r="I32" s="208" t="s">
        <v>40</v>
      </c>
      <c r="J32" s="208"/>
      <c r="K32" s="208"/>
      <c r="N32" s="191"/>
    </row>
    <row r="33" spans="1:14" x14ac:dyDescent="0.2">
      <c r="B33" s="216" t="s">
        <v>41</v>
      </c>
      <c r="C33" s="260">
        <f>IF(OR(D16=0,D29&gt;=0),0,D29/D16*-1)</f>
        <v>0</v>
      </c>
      <c r="D33" s="261">
        <f>IF(OR(F16=0,F29&gt;=0),0,F29/F16*-1)</f>
        <v>0</v>
      </c>
      <c r="I33" s="221"/>
      <c r="J33" s="214">
        <f>J10</f>
        <v>2020</v>
      </c>
      <c r="K33" s="215">
        <f>K10</f>
        <v>2019</v>
      </c>
      <c r="N33" s="191"/>
    </row>
    <row r="34" spans="1:14" x14ac:dyDescent="0.2">
      <c r="B34" s="216" t="s">
        <v>42</v>
      </c>
      <c r="C34" s="262">
        <f>IF(D16&gt;0,((J14+J15)/D16),0)</f>
        <v>9.4620288558326812E-2</v>
      </c>
      <c r="D34" s="263">
        <f>IF(F16&gt;0,((K14+K15)/F16),0)</f>
        <v>9.8749593354379633E-2</v>
      </c>
      <c r="I34" s="221" t="s">
        <v>43</v>
      </c>
      <c r="J34" s="217">
        <f>'[1]ספר לבן'!C80</f>
        <v>63111.729999999996</v>
      </c>
      <c r="K34" s="222">
        <f>'[1]ספר לבן'!D80</f>
        <v>62039</v>
      </c>
      <c r="N34" s="191"/>
    </row>
    <row r="35" spans="1:14" x14ac:dyDescent="0.2">
      <c r="B35" s="216" t="s">
        <v>44</v>
      </c>
      <c r="C35" s="262">
        <f>IF(D16&gt;0,('[1]נספח 3 לטופס 1'!K14/D16),0)</f>
        <v>0.14660105133653953</v>
      </c>
      <c r="D35" s="263">
        <f>IF(F16&gt;0,('[1]נספח 3 לטופס 1'!M14/F16),0)</f>
        <v>0.17407639897548213</v>
      </c>
      <c r="I35" s="221" t="s">
        <v>45</v>
      </c>
      <c r="J35" s="223">
        <f>'[1]ספר לבן'!C81</f>
        <v>80373.8</v>
      </c>
      <c r="K35" s="227">
        <f>'[1]ספר לבן'!D81</f>
        <v>78111.73</v>
      </c>
      <c r="N35" s="191"/>
    </row>
    <row r="36" spans="1:14" x14ac:dyDescent="0.2">
      <c r="B36" s="216" t="s">
        <v>46</v>
      </c>
      <c r="C36" s="262">
        <f>IF(D16&gt;0,(J20/D16),0)</f>
        <v>0.19344592327480148</v>
      </c>
      <c r="D36" s="263">
        <f>IF(F16=0,0,K20/F16)</f>
        <v>0.22745121398036189</v>
      </c>
      <c r="I36" s="221" t="s">
        <v>47</v>
      </c>
      <c r="J36" s="223">
        <f>'[1]ספר לבן'!C82</f>
        <v>-26866</v>
      </c>
      <c r="K36" s="227">
        <f>'[1]ספר לבן'!D82</f>
        <v>-15702</v>
      </c>
      <c r="N36" s="191"/>
    </row>
    <row r="37" spans="1:14" x14ac:dyDescent="0.2">
      <c r="B37" s="216" t="s">
        <v>48</v>
      </c>
      <c r="C37" s="223">
        <f>IF(C6&gt;0,(D27/C6)*1000,0)</f>
        <v>8427.0498923594059</v>
      </c>
      <c r="D37" s="227">
        <f>IF(C5&gt;0,(F27/C5)*1000,0)</f>
        <v>8363.5455488531152</v>
      </c>
      <c r="I37" s="228" t="s">
        <v>49</v>
      </c>
      <c r="J37" s="223">
        <f>'[1]ספר לבן'!C83</f>
        <v>-49983</v>
      </c>
      <c r="K37" s="227">
        <f>'[1]ספר לבן'!D83</f>
        <v>0</v>
      </c>
      <c r="N37" s="191"/>
    </row>
    <row r="38" spans="1:14" x14ac:dyDescent="0.2">
      <c r="B38" s="216" t="s">
        <v>50</v>
      </c>
      <c r="C38" s="229">
        <f>'[1]נספח 4 לטופס 2 חלק א'!$G$36</f>
        <v>459.35598326984797</v>
      </c>
      <c r="D38" s="230">
        <f>'[1]נספח 4 לטופס 2 חלק א'!$M$36</f>
        <v>455.95100182869908</v>
      </c>
      <c r="I38" s="221" t="s">
        <v>51</v>
      </c>
      <c r="J38" s="223">
        <f>J34+J35+J36+J37</f>
        <v>66636.53</v>
      </c>
      <c r="K38" s="227">
        <f>K34+K35+K36+K37</f>
        <v>124448.72999999998</v>
      </c>
      <c r="N38" s="191"/>
    </row>
    <row r="39" spans="1:14" x14ac:dyDescent="0.2">
      <c r="B39" s="255"/>
      <c r="C39" s="259"/>
      <c r="D39" s="257"/>
      <c r="I39" s="221" t="s">
        <v>52</v>
      </c>
      <c r="J39" s="223">
        <f>'[1]ספר לבן'!C85</f>
        <v>52231</v>
      </c>
      <c r="K39" s="227">
        <f>'[1]ספר לבן'!D85</f>
        <v>61337</v>
      </c>
      <c r="N39" s="191"/>
    </row>
    <row r="40" spans="1:14" x14ac:dyDescent="0.2">
      <c r="B40" s="190"/>
      <c r="I40" s="245" t="s">
        <v>53</v>
      </c>
      <c r="J40" s="264">
        <f>J38-J39</f>
        <v>14405.529999999999</v>
      </c>
      <c r="K40" s="265">
        <f>K38-K39</f>
        <v>63111.729999999981</v>
      </c>
      <c r="N40" s="191"/>
    </row>
    <row r="41" spans="1:14" x14ac:dyDescent="0.2">
      <c r="A41" s="200"/>
      <c r="B41" s="266" t="s">
        <v>54</v>
      </c>
      <c r="C41" s="266"/>
      <c r="D41" s="266"/>
      <c r="E41" s="200"/>
      <c r="I41" s="221" t="s">
        <v>55</v>
      </c>
      <c r="J41" s="223">
        <f>'[1]ספר לבן'!C88</f>
        <v>50430</v>
      </c>
      <c r="K41" s="227">
        <f>'[1]ספר לבן'!D88</f>
        <v>820</v>
      </c>
      <c r="N41" s="191"/>
    </row>
    <row r="42" spans="1:14" ht="15" thickBot="1" x14ac:dyDescent="0.25">
      <c r="B42" s="216"/>
      <c r="C42" s="214">
        <f>J10</f>
        <v>2020</v>
      </c>
      <c r="D42" s="215">
        <f>K10</f>
        <v>2019</v>
      </c>
      <c r="I42" s="267" t="s">
        <v>56</v>
      </c>
      <c r="J42" s="268">
        <f>J40+J41</f>
        <v>64835.53</v>
      </c>
      <c r="K42" s="269">
        <f>K40+K41</f>
        <v>63931.729999999981</v>
      </c>
      <c r="N42" s="191"/>
    </row>
    <row r="43" spans="1:14" ht="15" thickTop="1" x14ac:dyDescent="0.2">
      <c r="B43" s="216" t="s">
        <v>57</v>
      </c>
      <c r="C43" s="217">
        <f>'[1]טופס 3'!$G$34</f>
        <v>22854</v>
      </c>
      <c r="D43" s="222">
        <f>'[1]טופס 3'!$I$34</f>
        <v>-193</v>
      </c>
      <c r="I43" s="221" t="s">
        <v>58</v>
      </c>
      <c r="J43" s="270">
        <f>'[1]נספח 2 לטופס 1 - פירוט ד'!$D$36</f>
        <v>0.51793852601079426</v>
      </c>
      <c r="K43" s="271">
        <f>'[1]נספח 2 לטופס 1 - פירוט ד'!$F$36</f>
        <v>9.4138821504030051E-2</v>
      </c>
      <c r="N43" s="191"/>
    </row>
    <row r="44" spans="1:14" x14ac:dyDescent="0.2">
      <c r="B44" s="216" t="s">
        <v>59</v>
      </c>
      <c r="C44" s="223">
        <f>'[1]טופס 3'!$G$18</f>
        <v>40912</v>
      </c>
      <c r="D44" s="227">
        <f>'[1]טופס 3'!$I$18</f>
        <v>62850</v>
      </c>
      <c r="I44" s="221" t="s">
        <v>60</v>
      </c>
      <c r="J44" s="270">
        <f>'[1]נספח 2 לטופס 1 - פירוט ד'!$D$37</f>
        <v>0.83600824375076288</v>
      </c>
      <c r="K44" s="271">
        <f>'[1]נספח 2 לטופס 1 - פירוט ד'!$F$37</f>
        <v>0.91360185408892236</v>
      </c>
      <c r="N44" s="191"/>
    </row>
    <row r="45" spans="1:14" x14ac:dyDescent="0.2">
      <c r="B45" s="216" t="s">
        <v>61</v>
      </c>
      <c r="C45" s="223">
        <f>'[1]טופס 3'!$G$27</f>
        <v>43911</v>
      </c>
      <c r="D45" s="227">
        <f>'[1]טופס 3'!$I$27</f>
        <v>39803</v>
      </c>
      <c r="E45" s="272"/>
      <c r="I45" s="221" t="s">
        <v>62</v>
      </c>
      <c r="J45" s="270">
        <f>'[1]נספח 2 לטופס 1 - פירוט ד'!$D$38</f>
        <v>0.78381932552610412</v>
      </c>
      <c r="K45" s="271">
        <f>'[1]נספח 2 לטופס 1 - פירוט ד'!$F$38</f>
        <v>0.49286963394483818</v>
      </c>
      <c r="N45" s="191"/>
    </row>
    <row r="46" spans="1:14" x14ac:dyDescent="0.2">
      <c r="B46" s="216" t="s">
        <v>63</v>
      </c>
      <c r="C46" s="229">
        <f>C43+C44-C45</f>
        <v>19855</v>
      </c>
      <c r="D46" s="230">
        <f>D43+D44-D45</f>
        <v>22854</v>
      </c>
      <c r="I46" s="258" t="s">
        <v>64</v>
      </c>
      <c r="J46" s="273">
        <f>IF('[1]נתונים לנספח 2 לטופס 1'!$D$26=0,0,('[1]נתונים לנספח 2 לטופס 1'!$D$27/'[1]נתונים לנספח 2 לטופס 1'!$D$26)*1000)</f>
        <v>42.494114652923585</v>
      </c>
      <c r="K46" s="274">
        <f>IF('[1]נתונים לנספח 2 לטופס 1'!$E$26=0,0,('[1]נתונים לנספח 2 לטופס 1'!$E$27/'[1]נתונים לנספח 2 לטופס 1'!$E$26)*1000)</f>
        <v>41.431034482758626</v>
      </c>
      <c r="N46" s="191"/>
    </row>
    <row r="47" spans="1:14" x14ac:dyDescent="0.2">
      <c r="B47" s="258"/>
      <c r="C47" s="275"/>
      <c r="D47" s="257"/>
      <c r="F47" s="276"/>
      <c r="G47" s="277"/>
      <c r="H47" s="277"/>
      <c r="I47" s="276" t="s">
        <v>65</v>
      </c>
      <c r="J47" s="277"/>
      <c r="N47" s="191"/>
    </row>
    <row r="48" spans="1:14" x14ac:dyDescent="0.2">
      <c r="B48" s="278" t="str">
        <f>CONCATENATE("*נכון ל",'[1]נתונים משותפים'!E51)</f>
        <v>*נכון לחודש אוקטובר 2020</v>
      </c>
      <c r="F48" s="279" t="str">
        <f>'[1]נתונים כלליים'!$B$8</f>
        <v>תקציב הרשות אושר על ידי משרד הפנים</v>
      </c>
      <c r="G48" s="279"/>
      <c r="H48" s="279"/>
      <c r="I48" s="279"/>
      <c r="J48" s="280"/>
      <c r="N48" s="191"/>
    </row>
    <row r="49" spans="1:14" x14ac:dyDescent="0.2">
      <c r="B49" s="278"/>
      <c r="F49" s="276" t="str">
        <f>IF('[1]נתונים כלליים'!$B$14='[1]נתונים כלליים'!$B$95,"",'[1]נתונים כלליים'!B14)</f>
        <v/>
      </c>
      <c r="G49" s="277"/>
      <c r="H49" s="277"/>
      <c r="I49" s="277"/>
      <c r="N49" s="191"/>
    </row>
    <row r="50" spans="1:14" ht="15" thickBot="1" x14ac:dyDescent="0.25">
      <c r="B50" s="190" t="str">
        <f>+'[1]נתונים כלליים'!$B$47</f>
        <v/>
      </c>
      <c r="N50" s="191"/>
    </row>
    <row r="51" spans="1:14" ht="15" thickTop="1" x14ac:dyDescent="0.2">
      <c r="A51" s="281"/>
      <c r="B51" s="282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</row>
    <row r="194" spans="2:11" ht="15.75" x14ac:dyDescent="0.2">
      <c r="B194" s="283" t="str">
        <f>E1</f>
        <v>עיריית קרית מלאכי</v>
      </c>
      <c r="C194" s="195"/>
      <c r="D194" s="195"/>
      <c r="E194" s="195"/>
      <c r="F194" s="195"/>
      <c r="G194" s="195"/>
      <c r="H194" s="195"/>
      <c r="I194" s="195"/>
      <c r="J194" s="195"/>
      <c r="K194" s="195"/>
    </row>
    <row r="195" spans="2:11" ht="15.75" x14ac:dyDescent="0.2">
      <c r="B195" s="283" t="str">
        <f>E2</f>
        <v>תמצית הדוחות הכספיים לשנת 2020</v>
      </c>
      <c r="C195" s="195"/>
      <c r="D195" s="195"/>
      <c r="E195" s="195"/>
      <c r="F195" s="195"/>
      <c r="G195" s="195"/>
      <c r="H195" s="195"/>
      <c r="I195" s="195"/>
      <c r="J195" s="195"/>
      <c r="K195" s="195"/>
    </row>
    <row r="196" spans="2:11" ht="15.75" x14ac:dyDescent="0.2">
      <c r="B196" s="195" t="str">
        <f>E3</f>
        <v>(באלפי ש"ח)</v>
      </c>
      <c r="C196" s="195"/>
      <c r="D196" s="195"/>
      <c r="E196" s="195"/>
      <c r="F196" s="195"/>
      <c r="G196" s="195"/>
      <c r="H196" s="195"/>
      <c r="I196" s="195"/>
      <c r="J196" s="195"/>
      <c r="K196" s="195"/>
    </row>
    <row r="200" spans="2:11" ht="15" x14ac:dyDescent="0.2">
      <c r="B200" s="284" t="str">
        <f t="shared" ref="B200:C203" si="2">B5</f>
        <v>מספר תושבים שנה קודמת</v>
      </c>
      <c r="C200" s="202">
        <f t="shared" si="2"/>
        <v>26027</v>
      </c>
      <c r="D200" s="202"/>
      <c r="E200" s="285">
        <f t="shared" ref="E200:K203" si="3">E5</f>
        <v>0</v>
      </c>
      <c r="F200" s="285">
        <f t="shared" si="3"/>
        <v>0</v>
      </c>
      <c r="G200" s="285">
        <f t="shared" si="3"/>
        <v>0</v>
      </c>
      <c r="H200" s="285">
        <f t="shared" si="3"/>
        <v>0</v>
      </c>
      <c r="I200" s="204">
        <f t="shared" si="3"/>
        <v>0</v>
      </c>
      <c r="J200" s="204">
        <f t="shared" si="3"/>
        <v>0</v>
      </c>
      <c r="K200" s="204">
        <f t="shared" si="3"/>
        <v>0</v>
      </c>
    </row>
    <row r="201" spans="2:11" ht="15" x14ac:dyDescent="0.2">
      <c r="B201" s="284" t="str">
        <f t="shared" si="2"/>
        <v>מספר תושבים *</v>
      </c>
      <c r="C201" s="202">
        <f t="shared" si="2"/>
        <v>26477</v>
      </c>
      <c r="D201" s="202"/>
      <c r="E201" s="286" t="str">
        <f>E6</f>
        <v>שטח שיפוט (דונם)</v>
      </c>
      <c r="F201" s="286"/>
      <c r="G201" s="202">
        <f>G6</f>
        <v>5800</v>
      </c>
      <c r="H201" s="202"/>
      <c r="I201" s="204">
        <f t="shared" si="3"/>
        <v>0</v>
      </c>
      <c r="J201" s="204">
        <f t="shared" si="3"/>
        <v>0</v>
      </c>
      <c r="K201" s="204">
        <f t="shared" si="3"/>
        <v>0</v>
      </c>
    </row>
    <row r="202" spans="2:11" ht="15" x14ac:dyDescent="0.2">
      <c r="B202" s="284" t="str">
        <f t="shared" si="2"/>
        <v xml:space="preserve">מספר משקי בית </v>
      </c>
      <c r="C202" s="202">
        <f t="shared" si="2"/>
        <v>8665</v>
      </c>
      <c r="D202" s="202"/>
      <c r="E202" s="286" t="str">
        <f>E7</f>
        <v xml:space="preserve">דירוג סוציואקונומי </v>
      </c>
      <c r="F202" s="286"/>
      <c r="G202" s="203">
        <f>G7</f>
        <v>4</v>
      </c>
      <c r="H202" s="203"/>
      <c r="I202" s="204">
        <f t="shared" si="3"/>
        <v>0</v>
      </c>
      <c r="J202" s="204">
        <f t="shared" si="3"/>
        <v>0</v>
      </c>
      <c r="K202" s="204">
        <f t="shared" si="3"/>
        <v>0</v>
      </c>
    </row>
    <row r="203" spans="2:11" x14ac:dyDescent="0.2">
      <c r="B203" s="204">
        <f t="shared" si="2"/>
        <v>0</v>
      </c>
      <c r="C203" s="205">
        <f t="shared" si="2"/>
        <v>0</v>
      </c>
      <c r="D203" s="205">
        <f>D8</f>
        <v>0</v>
      </c>
      <c r="E203" s="205">
        <f>E8</f>
        <v>0</v>
      </c>
      <c r="F203" s="205">
        <f>F8</f>
        <v>0</v>
      </c>
      <c r="G203" s="205">
        <f>G8</f>
        <v>0</v>
      </c>
      <c r="H203" s="205">
        <f t="shared" ref="H203:H235" si="4">H8</f>
        <v>0</v>
      </c>
      <c r="I203" s="204">
        <f t="shared" si="3"/>
        <v>0</v>
      </c>
      <c r="J203" s="204">
        <f t="shared" si="3"/>
        <v>0</v>
      </c>
      <c r="K203" s="204">
        <f t="shared" si="3"/>
        <v>0</v>
      </c>
    </row>
    <row r="204" spans="2:11" ht="15" x14ac:dyDescent="0.2">
      <c r="B204" s="287" t="str">
        <f>B9</f>
        <v>נתוני ביצוע התקציב הרגיל</v>
      </c>
      <c r="C204" s="287"/>
      <c r="D204" s="287"/>
      <c r="E204" s="287"/>
      <c r="F204" s="287"/>
      <c r="G204" s="287"/>
      <c r="H204" s="207">
        <f t="shared" si="4"/>
        <v>0</v>
      </c>
      <c r="I204" s="288" t="str">
        <f>I9</f>
        <v>מאזן</v>
      </c>
      <c r="J204" s="288"/>
      <c r="K204" s="288"/>
    </row>
    <row r="205" spans="2:11" ht="15" x14ac:dyDescent="0.2">
      <c r="B205" s="289" t="str">
        <f>B10</f>
        <v>הכנסות</v>
      </c>
      <c r="C205" s="290" t="str">
        <f t="shared" ref="C205:G220" si="5">C10</f>
        <v>תקציב 2020</v>
      </c>
      <c r="D205" s="290" t="str">
        <f t="shared" si="5"/>
        <v>ביצוע 2020</v>
      </c>
      <c r="E205" s="290" t="str">
        <f t="shared" si="5"/>
        <v>%</v>
      </c>
      <c r="F205" s="290" t="str">
        <f t="shared" si="5"/>
        <v>ביצוע 2019</v>
      </c>
      <c r="G205" s="291" t="str">
        <f t="shared" si="5"/>
        <v>%</v>
      </c>
      <c r="H205" s="207">
        <f t="shared" si="4"/>
        <v>0</v>
      </c>
      <c r="I205" s="292" t="str">
        <f>I10</f>
        <v>נכסים</v>
      </c>
      <c r="J205" s="293">
        <f t="shared" ref="J205:K220" si="6">J10</f>
        <v>2020</v>
      </c>
      <c r="K205" s="294">
        <f t="shared" si="6"/>
        <v>2019</v>
      </c>
    </row>
    <row r="206" spans="2:11" x14ac:dyDescent="0.2">
      <c r="B206" s="295" t="str">
        <f t="shared" ref="B206:B211" si="7">IF(AND($C11=0,$D11=0,$E11=0,$F11=0,$G11=0),"",$B11)</f>
        <v xml:space="preserve">הכנסות עצמיות </v>
      </c>
      <c r="C206" s="296">
        <f t="shared" si="5"/>
        <v>89937</v>
      </c>
      <c r="D206" s="296">
        <f t="shared" si="5"/>
        <v>89954</v>
      </c>
      <c r="E206" s="297">
        <f t="shared" si="5"/>
        <v>0.40243373224471535</v>
      </c>
      <c r="F206" s="296">
        <f t="shared" si="5"/>
        <v>95485</v>
      </c>
      <c r="G206" s="298">
        <f t="shared" si="5"/>
        <v>0.43750486829263824</v>
      </c>
      <c r="H206" s="207">
        <f t="shared" si="4"/>
        <v>0</v>
      </c>
      <c r="I206" s="299" t="str">
        <f t="shared" ref="I206:I213" si="8">IF(AND($J11=0,$K11=0),"",$I11)</f>
        <v>רכוש שוטף</v>
      </c>
      <c r="J206" s="296">
        <f t="shared" si="6"/>
        <v>22103</v>
      </c>
      <c r="K206" s="300">
        <f t="shared" si="6"/>
        <v>28102</v>
      </c>
    </row>
    <row r="207" spans="2:11" x14ac:dyDescent="0.2">
      <c r="B207" s="295" t="str">
        <f t="shared" si="7"/>
        <v>השתת' משרד החינוך</v>
      </c>
      <c r="C207" s="301">
        <f t="shared" si="5"/>
        <v>48934</v>
      </c>
      <c r="D207" s="301">
        <f t="shared" si="5"/>
        <v>51033</v>
      </c>
      <c r="E207" s="302">
        <f t="shared" si="5"/>
        <v>0.22831003243485068</v>
      </c>
      <c r="F207" s="301">
        <f t="shared" si="5"/>
        <v>46430</v>
      </c>
      <c r="G207" s="303">
        <f t="shared" si="5"/>
        <v>0.21273866088733512</v>
      </c>
      <c r="H207" s="207">
        <f t="shared" si="4"/>
        <v>0</v>
      </c>
      <c r="I207" s="299" t="str">
        <f t="shared" si="8"/>
        <v>השקעות</v>
      </c>
      <c r="J207" s="301">
        <f t="shared" si="6"/>
        <v>74234</v>
      </c>
      <c r="K207" s="304">
        <f t="shared" si="6"/>
        <v>55587</v>
      </c>
    </row>
    <row r="208" spans="2:11" x14ac:dyDescent="0.2">
      <c r="B208" s="295" t="str">
        <f t="shared" si="7"/>
        <v xml:space="preserve">השתת' משרד הרווחה </v>
      </c>
      <c r="C208" s="301">
        <f t="shared" si="5"/>
        <v>29740</v>
      </c>
      <c r="D208" s="301">
        <f t="shared" si="5"/>
        <v>30609</v>
      </c>
      <c r="E208" s="302">
        <f t="shared" si="5"/>
        <v>0.1369377027178168</v>
      </c>
      <c r="F208" s="301">
        <f t="shared" si="5"/>
        <v>27786</v>
      </c>
      <c r="G208" s="303">
        <f t="shared" si="5"/>
        <v>0.12731329811362252</v>
      </c>
      <c r="H208" s="207">
        <f t="shared" si="4"/>
        <v>0</v>
      </c>
      <c r="I208" s="305" t="str">
        <f t="shared" si="8"/>
        <v>השקעות לכיסוי קרנות מתוקצבות ואחרות</v>
      </c>
      <c r="J208" s="301">
        <f t="shared" si="6"/>
        <v>25194</v>
      </c>
      <c r="K208" s="304">
        <f t="shared" si="6"/>
        <v>25194</v>
      </c>
    </row>
    <row r="209" spans="2:11" ht="28.5" x14ac:dyDescent="0.2">
      <c r="B209" s="295" t="str">
        <f t="shared" si="7"/>
        <v>השתת' משרדי ממשלה אחרים וחלף הכנסות עצמיות מארנונה</v>
      </c>
      <c r="C209" s="301">
        <f t="shared" si="5"/>
        <v>16244</v>
      </c>
      <c r="D209" s="301">
        <f t="shared" si="5"/>
        <v>15206</v>
      </c>
      <c r="E209" s="302">
        <f t="shared" si="5"/>
        <v>6.8028184766804611E-2</v>
      </c>
      <c r="F209" s="301">
        <f t="shared" si="5"/>
        <v>8931</v>
      </c>
      <c r="G209" s="303">
        <f t="shared" si="5"/>
        <v>4.0921149695989589E-2</v>
      </c>
      <c r="H209" s="207">
        <f t="shared" si="4"/>
        <v>0</v>
      </c>
      <c r="I209" s="299" t="str">
        <f t="shared" si="8"/>
        <v>גרעון מצטבר בתקציב הרגיל</v>
      </c>
      <c r="J209" s="301">
        <f t="shared" si="6"/>
        <v>21150</v>
      </c>
      <c r="K209" s="304">
        <f t="shared" si="6"/>
        <v>21552</v>
      </c>
    </row>
    <row r="210" spans="2:11" x14ac:dyDescent="0.2">
      <c r="B210" s="295" t="str">
        <f t="shared" si="7"/>
        <v>מענקים ומלוות</v>
      </c>
      <c r="C210" s="306">
        <f t="shared" si="5"/>
        <v>35784</v>
      </c>
      <c r="D210" s="306">
        <f t="shared" si="5"/>
        <v>36723</v>
      </c>
      <c r="E210" s="307">
        <f t="shared" si="5"/>
        <v>0.16429034783581256</v>
      </c>
      <c r="F210" s="306">
        <f t="shared" si="5"/>
        <v>39617</v>
      </c>
      <c r="G210" s="308">
        <f t="shared" si="5"/>
        <v>0.1815220230104147</v>
      </c>
      <c r="H210" s="207">
        <f t="shared" si="4"/>
        <v>0</v>
      </c>
      <c r="I210" s="299" t="str">
        <f t="shared" si="8"/>
        <v/>
      </c>
      <c r="J210" s="301">
        <f t="shared" si="6"/>
        <v>0</v>
      </c>
      <c r="K210" s="304">
        <f t="shared" si="6"/>
        <v>0</v>
      </c>
    </row>
    <row r="211" spans="2:11" ht="15" thickBot="1" x14ac:dyDescent="0.25">
      <c r="B211" s="295" t="str">
        <f t="shared" si="7"/>
        <v>סה"כ</v>
      </c>
      <c r="C211" s="309">
        <f t="shared" si="5"/>
        <v>220639</v>
      </c>
      <c r="D211" s="309">
        <f t="shared" si="5"/>
        <v>223525</v>
      </c>
      <c r="E211" s="310">
        <f t="shared" si="5"/>
        <v>1</v>
      </c>
      <c r="F211" s="309">
        <f t="shared" si="5"/>
        <v>218249</v>
      </c>
      <c r="G211" s="311">
        <f t="shared" si="5"/>
        <v>1</v>
      </c>
      <c r="H211" s="207">
        <f t="shared" si="4"/>
        <v>0</v>
      </c>
      <c r="I211" s="299" t="str">
        <f t="shared" si="8"/>
        <v/>
      </c>
      <c r="J211" s="301">
        <f t="shared" si="6"/>
        <v>0</v>
      </c>
      <c r="K211" s="304">
        <f t="shared" si="6"/>
        <v>0</v>
      </c>
    </row>
    <row r="212" spans="2:11" ht="15.75" thickTop="1" thickBot="1" x14ac:dyDescent="0.25">
      <c r="B212" s="299">
        <f>B17</f>
        <v>0</v>
      </c>
      <c r="C212" s="312">
        <f t="shared" si="5"/>
        <v>0</v>
      </c>
      <c r="D212" s="312">
        <f t="shared" si="5"/>
        <v>0</v>
      </c>
      <c r="E212" s="312">
        <f t="shared" si="5"/>
        <v>0</v>
      </c>
      <c r="F212" s="312">
        <f t="shared" si="5"/>
        <v>0</v>
      </c>
      <c r="G212" s="313">
        <f t="shared" si="5"/>
        <v>0</v>
      </c>
      <c r="H212" s="207">
        <f t="shared" si="4"/>
        <v>0</v>
      </c>
      <c r="I212" s="299" t="str">
        <f t="shared" si="8"/>
        <v>סה"כ</v>
      </c>
      <c r="J212" s="309">
        <f t="shared" si="6"/>
        <v>142681</v>
      </c>
      <c r="K212" s="314">
        <f t="shared" si="6"/>
        <v>130435</v>
      </c>
    </row>
    <row r="213" spans="2:11" ht="15.75" thickTop="1" x14ac:dyDescent="0.2">
      <c r="B213" s="289" t="str">
        <f>B18</f>
        <v>הוצאות</v>
      </c>
      <c r="C213" s="290" t="str">
        <f t="shared" si="5"/>
        <v>תקציב 2020</v>
      </c>
      <c r="D213" s="290" t="str">
        <f t="shared" si="5"/>
        <v>ביצוע 2020</v>
      </c>
      <c r="E213" s="290" t="str">
        <f t="shared" si="5"/>
        <v>%</v>
      </c>
      <c r="F213" s="290" t="str">
        <f t="shared" si="5"/>
        <v>ביצוע 2019</v>
      </c>
      <c r="G213" s="291" t="str">
        <f t="shared" si="5"/>
        <v>%</v>
      </c>
      <c r="H213" s="207">
        <f t="shared" si="4"/>
        <v>0</v>
      </c>
      <c r="I213" s="299" t="str">
        <f t="shared" si="8"/>
        <v/>
      </c>
      <c r="J213" s="315">
        <f t="shared" si="6"/>
        <v>0</v>
      </c>
      <c r="K213" s="316">
        <f t="shared" si="6"/>
        <v>0</v>
      </c>
    </row>
    <row r="214" spans="2:11" ht="15" x14ac:dyDescent="0.2">
      <c r="B214" s="295" t="str">
        <f t="shared" ref="B214:B222" si="9">IF(AND($C19=0,$D19=0,$E19=0,$F19=0,$G19=0),"",$B19)</f>
        <v>משכורות ושכר כללי</v>
      </c>
      <c r="C214" s="296">
        <f t="shared" si="5"/>
        <v>36649</v>
      </c>
      <c r="D214" s="296">
        <f t="shared" si="5"/>
        <v>36007</v>
      </c>
      <c r="E214" s="317">
        <f t="shared" si="5"/>
        <v>0.16137735688387123</v>
      </c>
      <c r="F214" s="296">
        <f t="shared" si="5"/>
        <v>36312</v>
      </c>
      <c r="G214" s="318">
        <f t="shared" si="5"/>
        <v>0.16681520410882128</v>
      </c>
      <c r="H214" s="207">
        <f t="shared" si="4"/>
        <v>0</v>
      </c>
      <c r="I214" s="292" t="str">
        <f>I19</f>
        <v>התחייבויות</v>
      </c>
      <c r="J214" s="293">
        <f t="shared" si="6"/>
        <v>2020</v>
      </c>
      <c r="K214" s="294">
        <f t="shared" si="6"/>
        <v>2019</v>
      </c>
    </row>
    <row r="215" spans="2:11" x14ac:dyDescent="0.2">
      <c r="B215" s="295" t="str">
        <f t="shared" si="9"/>
        <v>פעולות אחרות</v>
      </c>
      <c r="C215" s="301">
        <f t="shared" si="5"/>
        <v>66389</v>
      </c>
      <c r="D215" s="301">
        <f t="shared" si="5"/>
        <v>68272</v>
      </c>
      <c r="E215" s="302">
        <f t="shared" si="5"/>
        <v>0.30598369509194479</v>
      </c>
      <c r="F215" s="301">
        <f t="shared" si="5"/>
        <v>64537</v>
      </c>
      <c r="G215" s="303">
        <f t="shared" si="5"/>
        <v>0.29647920322678445</v>
      </c>
      <c r="H215" s="207">
        <f t="shared" si="4"/>
        <v>0</v>
      </c>
      <c r="I215" s="299" t="str">
        <f>IF(AND($J20=0,$K20=0),"",$I20)</f>
        <v>התחייבויות שוטפות</v>
      </c>
      <c r="J215" s="301">
        <f t="shared" si="6"/>
        <v>43240</v>
      </c>
      <c r="K215" s="304">
        <f>K20</f>
        <v>49641</v>
      </c>
    </row>
    <row r="216" spans="2:11" x14ac:dyDescent="0.2">
      <c r="B216" s="295" t="str">
        <f t="shared" si="9"/>
        <v>שכר חינוך</v>
      </c>
      <c r="C216" s="301">
        <f t="shared" si="5"/>
        <v>29212</v>
      </c>
      <c r="D216" s="301">
        <f t="shared" si="5"/>
        <v>29670</v>
      </c>
      <c r="E216" s="302">
        <f t="shared" si="5"/>
        <v>0.13297598185754045</v>
      </c>
      <c r="F216" s="301">
        <f t="shared" si="5"/>
        <v>28635</v>
      </c>
      <c r="G216" s="303">
        <f t="shared" si="5"/>
        <v>0.13154751513703727</v>
      </c>
      <c r="H216" s="207">
        <f t="shared" si="4"/>
        <v>0</v>
      </c>
      <c r="I216" s="299" t="str">
        <f>IF(AND($I21&lt;&gt;"(***)",OR($J21&lt;&gt;0,$K21&lt;&gt;0)),$I21,"")</f>
        <v/>
      </c>
      <c r="J216" s="301">
        <f t="shared" si="6"/>
        <v>0</v>
      </c>
      <c r="K216" s="304">
        <f t="shared" si="6"/>
        <v>0</v>
      </c>
    </row>
    <row r="217" spans="2:11" x14ac:dyDescent="0.2">
      <c r="B217" s="295" t="str">
        <f t="shared" si="9"/>
        <v>פעולות חינוך</v>
      </c>
      <c r="C217" s="301">
        <f t="shared" si="5"/>
        <v>38508</v>
      </c>
      <c r="D217" s="301">
        <f t="shared" si="5"/>
        <v>38704</v>
      </c>
      <c r="E217" s="302">
        <f t="shared" si="5"/>
        <v>0.173464860189223</v>
      </c>
      <c r="F217" s="301">
        <f t="shared" si="5"/>
        <v>40498</v>
      </c>
      <c r="G217" s="303">
        <f t="shared" si="5"/>
        <v>0.1860454432694163</v>
      </c>
      <c r="H217" s="207">
        <f t="shared" si="4"/>
        <v>0</v>
      </c>
      <c r="I217" s="299" t="str">
        <f>IF(AND($J22=0,$K22=0),"",$I22)</f>
        <v>קרן לעבודות פיתוח ואחרות</v>
      </c>
      <c r="J217" s="301">
        <f t="shared" si="6"/>
        <v>54392</v>
      </c>
      <c r="K217" s="304">
        <f t="shared" si="6"/>
        <v>32746</v>
      </c>
    </row>
    <row r="218" spans="2:11" x14ac:dyDescent="0.2">
      <c r="B218" s="295" t="str">
        <f t="shared" si="9"/>
        <v>שכר רווחה</v>
      </c>
      <c r="C218" s="301">
        <f t="shared" si="5"/>
        <v>7997</v>
      </c>
      <c r="D218" s="301">
        <f t="shared" si="5"/>
        <v>8266</v>
      </c>
      <c r="E218" s="302">
        <f t="shared" si="5"/>
        <v>3.7046830671871568E-2</v>
      </c>
      <c r="F218" s="301">
        <f t="shared" si="5"/>
        <v>7598</v>
      </c>
      <c r="G218" s="303">
        <f t="shared" si="5"/>
        <v>3.4904767592499011E-2</v>
      </c>
      <c r="H218" s="207">
        <f t="shared" si="4"/>
        <v>0</v>
      </c>
      <c r="I218" s="299" t="str">
        <f>IF(AND($J23=0,$K23=0),"",$I23)</f>
        <v>קרנות מתוקצבות</v>
      </c>
      <c r="J218" s="301">
        <f t="shared" si="6"/>
        <v>25194</v>
      </c>
      <c r="K218" s="304">
        <f t="shared" si="6"/>
        <v>25194</v>
      </c>
    </row>
    <row r="219" spans="2:11" x14ac:dyDescent="0.2">
      <c r="B219" s="295" t="str">
        <f t="shared" si="9"/>
        <v>פעולות רווחה</v>
      </c>
      <c r="C219" s="301">
        <f t="shared" si="5"/>
        <v>34587</v>
      </c>
      <c r="D219" s="301">
        <f t="shared" si="5"/>
        <v>34982</v>
      </c>
      <c r="E219" s="302">
        <f t="shared" si="5"/>
        <v>0.15678347817123292</v>
      </c>
      <c r="F219" s="301">
        <f t="shared" si="5"/>
        <v>32318</v>
      </c>
      <c r="G219" s="303">
        <f t="shared" si="5"/>
        <v>0.14846700171813412</v>
      </c>
      <c r="H219" s="207">
        <f t="shared" si="4"/>
        <v>0</v>
      </c>
      <c r="I219" s="299" t="str">
        <f>IF(AND($J24=0,$K24=0),"",$I24)</f>
        <v/>
      </c>
      <c r="J219" s="301">
        <f t="shared" si="6"/>
        <v>0</v>
      </c>
      <c r="K219" s="304">
        <f t="shared" si="6"/>
        <v>0</v>
      </c>
    </row>
    <row r="220" spans="2:11" x14ac:dyDescent="0.2">
      <c r="B220" s="295" t="str">
        <f t="shared" si="9"/>
        <v>מימון</v>
      </c>
      <c r="C220" s="301">
        <f t="shared" si="5"/>
        <v>1053</v>
      </c>
      <c r="D220" s="301">
        <f t="shared" si="5"/>
        <v>978</v>
      </c>
      <c r="E220" s="302">
        <f t="shared" si="5"/>
        <v>4.3832325667905146E-3</v>
      </c>
      <c r="F220" s="301">
        <f t="shared" si="5"/>
        <v>1210</v>
      </c>
      <c r="G220" s="303">
        <f t="shared" si="5"/>
        <v>5.5586692270234014E-3</v>
      </c>
      <c r="H220" s="207">
        <f t="shared" si="4"/>
        <v>0</v>
      </c>
      <c r="I220" s="299" t="str">
        <f>IF(AND($J25=0,$K25=0),"",$I25)</f>
        <v>עודפים זמניים נטו בתב"ר</v>
      </c>
      <c r="J220" s="301">
        <f t="shared" si="6"/>
        <v>19855</v>
      </c>
      <c r="K220" s="304">
        <f t="shared" si="6"/>
        <v>22854</v>
      </c>
    </row>
    <row r="221" spans="2:11" ht="15" thickBot="1" x14ac:dyDescent="0.25">
      <c r="B221" s="295" t="str">
        <f t="shared" si="9"/>
        <v xml:space="preserve">פרעון מלוות </v>
      </c>
      <c r="C221" s="306">
        <f t="shared" ref="C221:G234" si="10">C26</f>
        <v>6244</v>
      </c>
      <c r="D221" s="306">
        <f t="shared" si="10"/>
        <v>6244</v>
      </c>
      <c r="E221" s="307">
        <f t="shared" si="10"/>
        <v>2.7984564567525537E-2</v>
      </c>
      <c r="F221" s="306">
        <f t="shared" si="10"/>
        <v>6570</v>
      </c>
      <c r="G221" s="308">
        <f t="shared" si="10"/>
        <v>3.0182195720284088E-2</v>
      </c>
      <c r="H221" s="207">
        <f t="shared" si="4"/>
        <v>0</v>
      </c>
      <c r="I221" s="299" t="str">
        <f>IF(AND($J26=0,$K26=0),"",$I26)</f>
        <v>סה"כ</v>
      </c>
      <c r="J221" s="309">
        <f t="shared" ref="J221:K225" si="11">J26</f>
        <v>142681</v>
      </c>
      <c r="K221" s="314">
        <f t="shared" si="11"/>
        <v>130435</v>
      </c>
    </row>
    <row r="222" spans="2:11" ht="15.75" thickTop="1" thickBot="1" x14ac:dyDescent="0.25">
      <c r="B222" s="295" t="str">
        <f t="shared" si="9"/>
        <v>סה"כ</v>
      </c>
      <c r="C222" s="309">
        <f t="shared" si="10"/>
        <v>220639</v>
      </c>
      <c r="D222" s="309">
        <f t="shared" si="10"/>
        <v>223123</v>
      </c>
      <c r="E222" s="310">
        <f t="shared" si="10"/>
        <v>1</v>
      </c>
      <c r="F222" s="309">
        <f t="shared" si="10"/>
        <v>217678</v>
      </c>
      <c r="G222" s="311">
        <f t="shared" si="10"/>
        <v>1</v>
      </c>
      <c r="H222" s="207">
        <f t="shared" si="4"/>
        <v>0</v>
      </c>
      <c r="I222" s="299">
        <f>I27</f>
        <v>0</v>
      </c>
      <c r="J222" s="285">
        <f t="shared" si="11"/>
        <v>0</v>
      </c>
      <c r="K222" s="319">
        <f t="shared" si="11"/>
        <v>0</v>
      </c>
    </row>
    <row r="223" spans="2:11" ht="15.75" thickTop="1" x14ac:dyDescent="0.2">
      <c r="B223" s="295">
        <f>B28</f>
        <v>0</v>
      </c>
      <c r="C223" s="320">
        <f t="shared" si="10"/>
        <v>0</v>
      </c>
      <c r="D223" s="320">
        <f t="shared" si="10"/>
        <v>0</v>
      </c>
      <c r="E223" s="320">
        <f t="shared" si="10"/>
        <v>0</v>
      </c>
      <c r="F223" s="320">
        <f t="shared" si="10"/>
        <v>0</v>
      </c>
      <c r="G223" s="321">
        <f t="shared" si="10"/>
        <v>0</v>
      </c>
      <c r="H223" s="207">
        <f t="shared" si="4"/>
        <v>0</v>
      </c>
      <c r="I223" s="322">
        <f>I28</f>
        <v>0</v>
      </c>
      <c r="J223" s="293">
        <f t="shared" si="11"/>
        <v>2020</v>
      </c>
      <c r="K223" s="294">
        <f t="shared" si="11"/>
        <v>2019</v>
      </c>
    </row>
    <row r="224" spans="2:11" ht="15.75" thickBot="1" x14ac:dyDescent="0.25">
      <c r="B224" s="295" t="str">
        <f>IF(AND($C29=0,$D29=0,$E29=0,$F29=0,$G29=0),"",$B29)</f>
        <v>עודף בשנת הדוח</v>
      </c>
      <c r="C224" s="323">
        <f t="shared" si="10"/>
        <v>0</v>
      </c>
      <c r="D224" s="323">
        <f t="shared" si="10"/>
        <v>402</v>
      </c>
      <c r="E224" s="301">
        <f t="shared" si="10"/>
        <v>0</v>
      </c>
      <c r="F224" s="323">
        <f t="shared" si="10"/>
        <v>571</v>
      </c>
      <c r="G224" s="321">
        <f t="shared" si="10"/>
        <v>0</v>
      </c>
      <c r="H224" s="207">
        <f t="shared" si="4"/>
        <v>0</v>
      </c>
      <c r="I224" s="299" t="str">
        <f>IF(AND($J29=0,$K29=0),"",$I29)</f>
        <v>עומס מלוות לסוף שנה</v>
      </c>
      <c r="J224" s="324">
        <f t="shared" si="11"/>
        <v>32769</v>
      </c>
      <c r="K224" s="325">
        <f t="shared" si="11"/>
        <v>37992</v>
      </c>
    </row>
    <row r="225" spans="2:11" ht="15" thickTop="1" x14ac:dyDescent="0.2">
      <c r="B225" s="326">
        <f>B30</f>
        <v>0</v>
      </c>
      <c r="C225" s="327">
        <f t="shared" si="10"/>
        <v>0</v>
      </c>
      <c r="D225" s="327">
        <f t="shared" si="10"/>
        <v>0</v>
      </c>
      <c r="E225" s="327">
        <f t="shared" si="10"/>
        <v>0</v>
      </c>
      <c r="F225" s="327">
        <f t="shared" si="10"/>
        <v>0</v>
      </c>
      <c r="G225" s="328">
        <f t="shared" si="10"/>
        <v>0</v>
      </c>
      <c r="H225" s="207">
        <f t="shared" si="4"/>
        <v>0</v>
      </c>
      <c r="I225" s="329">
        <f>I30</f>
        <v>0</v>
      </c>
      <c r="J225" s="330">
        <f t="shared" si="11"/>
        <v>0</v>
      </c>
      <c r="K225" s="331">
        <f t="shared" si="11"/>
        <v>0</v>
      </c>
    </row>
    <row r="226" spans="2:11" x14ac:dyDescent="0.2">
      <c r="B226" s="332" t="str">
        <f>+B50</f>
        <v/>
      </c>
      <c r="C226" s="280"/>
      <c r="D226" s="280"/>
      <c r="E226" s="280"/>
      <c r="F226" s="280"/>
      <c r="G226" s="280"/>
      <c r="H226" s="280"/>
      <c r="I226" s="280"/>
      <c r="J226" s="280"/>
      <c r="K226" s="280"/>
    </row>
    <row r="227" spans="2:11" ht="15" x14ac:dyDescent="0.2">
      <c r="B227" s="333">
        <f>B32</f>
        <v>0</v>
      </c>
      <c r="C227" s="293">
        <f t="shared" si="10"/>
        <v>2020</v>
      </c>
      <c r="D227" s="294">
        <f t="shared" si="10"/>
        <v>2019</v>
      </c>
      <c r="E227" s="205">
        <f t="shared" si="10"/>
        <v>0</v>
      </c>
      <c r="F227" s="205">
        <f t="shared" si="10"/>
        <v>0</v>
      </c>
      <c r="G227" s="205">
        <f t="shared" si="10"/>
        <v>0</v>
      </c>
      <c r="H227" s="205">
        <f t="shared" si="4"/>
        <v>0</v>
      </c>
      <c r="I227" s="288" t="str">
        <f>I32</f>
        <v>דוח גביה וחייבים - ארנונה</v>
      </c>
      <c r="J227" s="288"/>
      <c r="K227" s="288"/>
    </row>
    <row r="228" spans="2:11" ht="15" x14ac:dyDescent="0.2">
      <c r="B228" s="295" t="str">
        <f t="shared" ref="B228:B233" si="12">IF(AND($C33=0,$D33=0),"",$B33)</f>
        <v/>
      </c>
      <c r="C228" s="334">
        <f t="shared" si="10"/>
        <v>0</v>
      </c>
      <c r="D228" s="335">
        <f t="shared" si="10"/>
        <v>0</v>
      </c>
      <c r="E228" s="205">
        <f t="shared" si="10"/>
        <v>0</v>
      </c>
      <c r="F228" s="205">
        <f t="shared" si="10"/>
        <v>0</v>
      </c>
      <c r="G228" s="205">
        <f t="shared" si="10"/>
        <v>0</v>
      </c>
      <c r="H228" s="205">
        <f t="shared" si="4"/>
        <v>0</v>
      </c>
      <c r="I228" s="322">
        <f>I33</f>
        <v>0</v>
      </c>
      <c r="J228" s="293">
        <f t="shared" ref="J228:K241" si="13">J33</f>
        <v>2020</v>
      </c>
      <c r="K228" s="294">
        <f t="shared" si="13"/>
        <v>2019</v>
      </c>
    </row>
    <row r="229" spans="2:11" x14ac:dyDescent="0.2">
      <c r="B229" s="295" t="str">
        <f t="shared" si="12"/>
        <v>% הגרעון הנצבר מההכנסה</v>
      </c>
      <c r="C229" s="336">
        <f t="shared" si="10"/>
        <v>9.4620288558326812E-2</v>
      </c>
      <c r="D229" s="337">
        <f t="shared" si="10"/>
        <v>9.8749593354379633E-2</v>
      </c>
      <c r="E229" s="205">
        <f t="shared" si="10"/>
        <v>0</v>
      </c>
      <c r="F229" s="205">
        <f t="shared" si="10"/>
        <v>0</v>
      </c>
      <c r="G229" s="205">
        <f t="shared" si="10"/>
        <v>0</v>
      </c>
      <c r="H229" s="205">
        <f t="shared" si="4"/>
        <v>0</v>
      </c>
      <c r="I229" s="299" t="str">
        <f t="shared" ref="I229:I237" si="14">IF(AND($J34=0,$K34=0),"",$I34)</f>
        <v>יתרת חוב לתחילת השנה</v>
      </c>
      <c r="J229" s="301">
        <f t="shared" si="13"/>
        <v>63111.729999999996</v>
      </c>
      <c r="K229" s="304">
        <f t="shared" si="13"/>
        <v>62039</v>
      </c>
    </row>
    <row r="230" spans="2:11" x14ac:dyDescent="0.2">
      <c r="B230" s="295" t="str">
        <f t="shared" si="12"/>
        <v>% עומס המלוות מההכנסה</v>
      </c>
      <c r="C230" s="336">
        <f t="shared" si="10"/>
        <v>0.14660105133653953</v>
      </c>
      <c r="D230" s="337">
        <f t="shared" si="10"/>
        <v>0.17407639897548213</v>
      </c>
      <c r="E230" s="205">
        <f t="shared" si="10"/>
        <v>0</v>
      </c>
      <c r="F230" s="205">
        <f t="shared" si="10"/>
        <v>0</v>
      </c>
      <c r="G230" s="205">
        <f t="shared" si="10"/>
        <v>0</v>
      </c>
      <c r="H230" s="205">
        <f t="shared" si="4"/>
        <v>0</v>
      </c>
      <c r="I230" s="299" t="str">
        <f t="shared" si="14"/>
        <v>חיוב השנה</v>
      </c>
      <c r="J230" s="301">
        <f t="shared" si="13"/>
        <v>80373.8</v>
      </c>
      <c r="K230" s="304">
        <f t="shared" si="13"/>
        <v>78111.73</v>
      </c>
    </row>
    <row r="231" spans="2:11" x14ac:dyDescent="0.2">
      <c r="B231" s="295" t="str">
        <f t="shared" si="12"/>
        <v>% סך ההתחייבויות מההכנסה</v>
      </c>
      <c r="C231" s="336">
        <f t="shared" si="10"/>
        <v>0.19344592327480148</v>
      </c>
      <c r="D231" s="337">
        <f t="shared" si="10"/>
        <v>0.22745121398036189</v>
      </c>
      <c r="E231" s="205">
        <f t="shared" si="10"/>
        <v>0</v>
      </c>
      <c r="F231" s="205">
        <f t="shared" si="10"/>
        <v>0</v>
      </c>
      <c r="G231" s="205">
        <f t="shared" si="10"/>
        <v>0</v>
      </c>
      <c r="H231" s="205">
        <f t="shared" si="4"/>
        <v>0</v>
      </c>
      <c r="I231" s="299" t="str">
        <f t="shared" si="14"/>
        <v>הנחות ופטורים שניתנו</v>
      </c>
      <c r="J231" s="301">
        <f t="shared" si="13"/>
        <v>-26866</v>
      </c>
      <c r="K231" s="304">
        <f t="shared" si="13"/>
        <v>-15702</v>
      </c>
    </row>
    <row r="232" spans="2:11" x14ac:dyDescent="0.2">
      <c r="B232" s="295" t="str">
        <f t="shared" si="12"/>
        <v>הוצאה ממוצעת לנפש בש"ח</v>
      </c>
      <c r="C232" s="301">
        <f t="shared" si="10"/>
        <v>8427.0498923594059</v>
      </c>
      <c r="D232" s="304">
        <f t="shared" si="10"/>
        <v>8363.5455488531152</v>
      </c>
      <c r="E232" s="205">
        <f t="shared" si="10"/>
        <v>0</v>
      </c>
      <c r="F232" s="205">
        <f t="shared" si="10"/>
        <v>0</v>
      </c>
      <c r="G232" s="205">
        <f t="shared" si="10"/>
        <v>0</v>
      </c>
      <c r="H232" s="205">
        <f t="shared" si="4"/>
        <v>0</v>
      </c>
      <c r="I232" s="299" t="str">
        <f t="shared" si="14"/>
        <v>העברה לחובות מסופקים וחובות למחיקה</v>
      </c>
      <c r="J232" s="301">
        <f t="shared" si="13"/>
        <v>-49983</v>
      </c>
      <c r="K232" s="304">
        <f t="shared" si="13"/>
        <v>0</v>
      </c>
    </row>
    <row r="233" spans="2:11" ht="15" x14ac:dyDescent="0.2">
      <c r="B233" s="295" t="str">
        <f t="shared" si="12"/>
        <v>מספר משרות ממוצע</v>
      </c>
      <c r="C233" s="301">
        <f t="shared" si="10"/>
        <v>459.35598326984797</v>
      </c>
      <c r="D233" s="304">
        <f t="shared" si="10"/>
        <v>455.95100182869908</v>
      </c>
      <c r="E233" s="205">
        <f t="shared" si="10"/>
        <v>0</v>
      </c>
      <c r="F233" s="205">
        <f t="shared" si="10"/>
        <v>0</v>
      </c>
      <c r="G233" s="205">
        <f t="shared" si="10"/>
        <v>0</v>
      </c>
      <c r="H233" s="205">
        <f t="shared" si="4"/>
        <v>0</v>
      </c>
      <c r="I233" s="299" t="str">
        <f t="shared" si="14"/>
        <v>סך לגביה</v>
      </c>
      <c r="J233" s="338">
        <f t="shared" si="13"/>
        <v>66636.53</v>
      </c>
      <c r="K233" s="325">
        <f t="shared" si="13"/>
        <v>124448.72999999998</v>
      </c>
    </row>
    <row r="234" spans="2:11" ht="15" x14ac:dyDescent="0.2">
      <c r="B234" s="339">
        <f>B39</f>
        <v>0</v>
      </c>
      <c r="C234" s="330">
        <f t="shared" si="10"/>
        <v>0</v>
      </c>
      <c r="D234" s="331">
        <f t="shared" si="10"/>
        <v>0</v>
      </c>
      <c r="E234" s="205">
        <f t="shared" si="10"/>
        <v>0</v>
      </c>
      <c r="F234" s="205">
        <f t="shared" si="10"/>
        <v>0</v>
      </c>
      <c r="G234" s="205">
        <f t="shared" si="10"/>
        <v>0</v>
      </c>
      <c r="H234" s="205">
        <f t="shared" si="4"/>
        <v>0</v>
      </c>
      <c r="I234" s="299" t="str">
        <f t="shared" si="14"/>
        <v>גביה בשנת הדוח</v>
      </c>
      <c r="J234" s="338">
        <f t="shared" si="13"/>
        <v>52231</v>
      </c>
      <c r="K234" s="325">
        <f t="shared" si="13"/>
        <v>61337</v>
      </c>
    </row>
    <row r="235" spans="2:11" ht="15" x14ac:dyDescent="0.2">
      <c r="B235" s="205">
        <f>B40</f>
        <v>0</v>
      </c>
      <c r="C235" s="205">
        <f>C40</f>
        <v>0</v>
      </c>
      <c r="D235" s="205">
        <f>D40</f>
        <v>0</v>
      </c>
      <c r="E235" s="205">
        <f>E40</f>
        <v>0</v>
      </c>
      <c r="F235" s="205">
        <f>F40</f>
        <v>0</v>
      </c>
      <c r="G235" s="205">
        <f>G40</f>
        <v>0</v>
      </c>
      <c r="H235" s="205">
        <f t="shared" si="4"/>
        <v>0</v>
      </c>
      <c r="I235" s="299" t="str">
        <f t="shared" si="14"/>
        <v>יתרת חוב לסוף השנה</v>
      </c>
      <c r="J235" s="324">
        <f t="shared" si="13"/>
        <v>14405.529999999999</v>
      </c>
      <c r="K235" s="340">
        <f t="shared" si="13"/>
        <v>63111.729999999981</v>
      </c>
    </row>
    <row r="236" spans="2:11" ht="15" x14ac:dyDescent="0.2">
      <c r="B236" s="205"/>
      <c r="C236" s="205"/>
      <c r="D236" s="205"/>
      <c r="E236" s="205"/>
      <c r="F236" s="205"/>
      <c r="G236" s="205"/>
      <c r="H236" s="205"/>
      <c r="I236" s="299" t="str">
        <f t="shared" si="14"/>
        <v>חובות מסופקים וחובות למחיקה</v>
      </c>
      <c r="J236" s="338">
        <f t="shared" si="13"/>
        <v>50430</v>
      </c>
      <c r="K236" s="325">
        <f t="shared" si="13"/>
        <v>820</v>
      </c>
    </row>
    <row r="237" spans="2:11" ht="15.75" thickBot="1" x14ac:dyDescent="0.25">
      <c r="B237" s="205"/>
      <c r="C237" s="205"/>
      <c r="D237" s="205"/>
      <c r="E237" s="205"/>
      <c r="F237" s="205"/>
      <c r="G237" s="205"/>
      <c r="H237" s="205"/>
      <c r="I237" s="299" t="str">
        <f t="shared" si="14"/>
        <v>סה"כ יתרות לסוף שנה כולל חובות מסופקים</v>
      </c>
      <c r="J237" s="341">
        <f t="shared" si="13"/>
        <v>64835.53</v>
      </c>
      <c r="K237" s="342">
        <f t="shared" si="13"/>
        <v>63931.729999999981</v>
      </c>
    </row>
    <row r="238" spans="2:11" ht="15.75" thickTop="1" x14ac:dyDescent="0.2">
      <c r="B238" s="343" t="str">
        <f>B41</f>
        <v>נתוני ביצוע  התקציב הבלתי רגיל</v>
      </c>
      <c r="C238" s="343"/>
      <c r="D238" s="343"/>
      <c r="E238" s="285">
        <f t="shared" ref="E238:G245" si="15">E41</f>
        <v>0</v>
      </c>
      <c r="F238" s="205">
        <f t="shared" si="15"/>
        <v>0</v>
      </c>
      <c r="G238" s="205">
        <f t="shared" si="15"/>
        <v>0</v>
      </c>
      <c r="H238" s="205">
        <f>H41</f>
        <v>0</v>
      </c>
      <c r="I238" s="299" t="str">
        <f>IF(AND($J43=0,$K43=0),"",$I43)</f>
        <v>אחוז גביה מהפיגורים (*)</v>
      </c>
      <c r="J238" s="344">
        <f t="shared" si="13"/>
        <v>0.51793852601079426</v>
      </c>
      <c r="K238" s="345">
        <f t="shared" si="13"/>
        <v>9.4138821504030051E-2</v>
      </c>
    </row>
    <row r="239" spans="2:11" ht="15" x14ac:dyDescent="0.2">
      <c r="B239" s="333">
        <f>B42</f>
        <v>0</v>
      </c>
      <c r="C239" s="293">
        <f t="shared" ref="C239:D244" si="16">C42</f>
        <v>2020</v>
      </c>
      <c r="D239" s="294">
        <f t="shared" si="16"/>
        <v>2019</v>
      </c>
      <c r="E239" s="205">
        <f t="shared" si="15"/>
        <v>0</v>
      </c>
      <c r="F239" s="205">
        <f t="shared" si="15"/>
        <v>0</v>
      </c>
      <c r="G239" s="205">
        <f t="shared" si="15"/>
        <v>0</v>
      </c>
      <c r="H239" s="205">
        <f>H42</f>
        <v>0</v>
      </c>
      <c r="I239" s="299" t="str">
        <f>IF(AND($J44=0,$K44=0),"",$I44)</f>
        <v>אחוז גביה מהשוטף (*)</v>
      </c>
      <c r="J239" s="344">
        <f t="shared" si="13"/>
        <v>0.83600824375076288</v>
      </c>
      <c r="K239" s="345">
        <f t="shared" si="13"/>
        <v>0.91360185408892236</v>
      </c>
    </row>
    <row r="240" spans="2:11" x14ac:dyDescent="0.2">
      <c r="B240" s="295" t="str">
        <f>IF(AND($C43=0,$D43=0),"",$B43)</f>
        <v>עודף (גרעון) זמני לתחילת השנה</v>
      </c>
      <c r="C240" s="296">
        <f t="shared" si="16"/>
        <v>22854</v>
      </c>
      <c r="D240" s="300">
        <f t="shared" si="16"/>
        <v>-193</v>
      </c>
      <c r="E240" s="205">
        <f t="shared" si="15"/>
        <v>0</v>
      </c>
      <c r="F240" s="205">
        <f t="shared" si="15"/>
        <v>0</v>
      </c>
      <c r="G240" s="205">
        <f t="shared" si="15"/>
        <v>0</v>
      </c>
      <c r="H240" s="205">
        <f>H43</f>
        <v>0</v>
      </c>
      <c r="I240" s="299" t="str">
        <f>IF(AND($J45=0,$K45=0),"",$I45)</f>
        <v>יחס הגביה לחוב הכולל (*)</v>
      </c>
      <c r="J240" s="344">
        <f t="shared" si="13"/>
        <v>0.78381932552610412</v>
      </c>
      <c r="K240" s="345">
        <f t="shared" si="13"/>
        <v>0.49286963394483818</v>
      </c>
    </row>
    <row r="241" spans="2:12" x14ac:dyDescent="0.2">
      <c r="B241" s="295" t="str">
        <f>IF(AND($C44=0,$D44=0),"",$B44)</f>
        <v>תקבולים במהלך השנה</v>
      </c>
      <c r="C241" s="301">
        <f t="shared" si="16"/>
        <v>40912</v>
      </c>
      <c r="D241" s="304">
        <f t="shared" si="16"/>
        <v>62850</v>
      </c>
      <c r="E241" s="205">
        <f t="shared" si="15"/>
        <v>0</v>
      </c>
      <c r="F241" s="205">
        <f t="shared" si="15"/>
        <v>0</v>
      </c>
      <c r="G241" s="205">
        <f t="shared" si="15"/>
        <v>0</v>
      </c>
      <c r="H241" s="205">
        <f>H44</f>
        <v>0</v>
      </c>
      <c r="I241" s="329" t="str">
        <f>IF(AND($J46=0,$K46=0),"",$I46)</f>
        <v>ממוצע ארנונה למגורים למ"ר</v>
      </c>
      <c r="J241" s="346">
        <f t="shared" si="13"/>
        <v>42.494114652923585</v>
      </c>
      <c r="K241" s="347">
        <f t="shared" si="13"/>
        <v>41.431034482758626</v>
      </c>
    </row>
    <row r="242" spans="2:12" x14ac:dyDescent="0.2">
      <c r="B242" s="295" t="str">
        <f>IF(AND($C45=0,$D45=0),"",$B45)</f>
        <v>תשלומים במהלך השנה</v>
      </c>
      <c r="C242" s="301">
        <f t="shared" si="16"/>
        <v>43911</v>
      </c>
      <c r="D242" s="304">
        <f t="shared" si="16"/>
        <v>39803</v>
      </c>
      <c r="E242" s="348">
        <f t="shared" si="15"/>
        <v>0</v>
      </c>
      <c r="F242" s="205">
        <f t="shared" si="15"/>
        <v>0</v>
      </c>
      <c r="G242" s="205">
        <f t="shared" si="15"/>
        <v>0</v>
      </c>
      <c r="H242" s="205">
        <f>H45</f>
        <v>0</v>
      </c>
      <c r="I242" s="349" t="str">
        <f>I47</f>
        <v>(*) השיעורים מחושבים ללא חובות מסופקים וחובות למחיקה.</v>
      </c>
      <c r="J242" s="205"/>
      <c r="K242" s="205"/>
    </row>
    <row r="243" spans="2:12" ht="15" x14ac:dyDescent="0.2">
      <c r="B243" s="295" t="str">
        <f>IF(AND($C46=0,$D46=0),"",$B46)</f>
        <v>עודף (גרעון) זמני לסוף השנה</v>
      </c>
      <c r="C243" s="301">
        <f t="shared" si="16"/>
        <v>19855</v>
      </c>
      <c r="D243" s="304">
        <f t="shared" si="16"/>
        <v>22854</v>
      </c>
      <c r="E243" s="205">
        <f t="shared" si="15"/>
        <v>0</v>
      </c>
      <c r="F243" s="350">
        <f t="shared" si="15"/>
        <v>0</v>
      </c>
      <c r="G243" s="350"/>
      <c r="H243" s="350"/>
      <c r="I243" s="350"/>
      <c r="J243" s="205"/>
      <c r="K243" s="205"/>
    </row>
    <row r="244" spans="2:12" ht="15" x14ac:dyDescent="0.2">
      <c r="B244" s="329">
        <f>B47</f>
        <v>0</v>
      </c>
      <c r="C244" s="327">
        <f t="shared" si="16"/>
        <v>0</v>
      </c>
      <c r="D244" s="331">
        <f t="shared" si="16"/>
        <v>0</v>
      </c>
      <c r="E244" s="205">
        <f t="shared" si="15"/>
        <v>0</v>
      </c>
      <c r="F244" s="205">
        <f t="shared" si="15"/>
        <v>0</v>
      </c>
      <c r="G244" s="350">
        <f>G47</f>
        <v>0</v>
      </c>
      <c r="H244" s="350"/>
      <c r="I244" s="350"/>
      <c r="J244" s="350"/>
      <c r="K244" s="205"/>
      <c r="L244" s="205"/>
    </row>
    <row r="245" spans="2:12" ht="15" x14ac:dyDescent="0.2">
      <c r="B245" s="351" t="str">
        <f>B48</f>
        <v>*נכון לחודש אוקטובר 2020</v>
      </c>
      <c r="C245" s="205">
        <f>C48</f>
        <v>0</v>
      </c>
      <c r="D245" s="205">
        <f>D48</f>
        <v>0</v>
      </c>
      <c r="E245" s="205">
        <f t="shared" si="15"/>
        <v>0</v>
      </c>
      <c r="F245" s="350" t="str">
        <f t="shared" si="15"/>
        <v>תקציב הרשות אושר על ידי משרד הפנים</v>
      </c>
      <c r="G245" s="350"/>
      <c r="H245" s="350"/>
      <c r="I245" s="350"/>
      <c r="J245" s="280"/>
      <c r="K245" s="205">
        <f>K48</f>
        <v>0</v>
      </c>
    </row>
    <row r="246" spans="2:12" x14ac:dyDescent="0.2">
      <c r="B246" s="351"/>
      <c r="C246" s="205"/>
      <c r="D246" s="205"/>
      <c r="E246" s="205"/>
      <c r="F246" s="279" t="str">
        <f>F49</f>
        <v/>
      </c>
      <c r="G246" s="279"/>
      <c r="H246" s="279"/>
      <c r="I246" s="279"/>
      <c r="J246" s="279"/>
      <c r="K246" s="279"/>
    </row>
  </sheetData>
  <mergeCells count="34">
    <mergeCell ref="G244:J244"/>
    <mergeCell ref="F245:J245"/>
    <mergeCell ref="F246:K246"/>
    <mergeCell ref="B204:G204"/>
    <mergeCell ref="I204:K204"/>
    <mergeCell ref="B226:K226"/>
    <mergeCell ref="I227:K227"/>
    <mergeCell ref="B238:D238"/>
    <mergeCell ref="F243:I243"/>
    <mergeCell ref="C201:D201"/>
    <mergeCell ref="E201:F201"/>
    <mergeCell ref="G201:H201"/>
    <mergeCell ref="C202:D202"/>
    <mergeCell ref="E202:F202"/>
    <mergeCell ref="G202:H202"/>
    <mergeCell ref="B41:D41"/>
    <mergeCell ref="F48:J48"/>
    <mergeCell ref="B194:K194"/>
    <mergeCell ref="B195:K195"/>
    <mergeCell ref="B196:K196"/>
    <mergeCell ref="C200:D200"/>
    <mergeCell ref="C7:D7"/>
    <mergeCell ref="E7:F7"/>
    <mergeCell ref="G7:H7"/>
    <mergeCell ref="B9:G9"/>
    <mergeCell ref="I9:K9"/>
    <mergeCell ref="I32:K32"/>
    <mergeCell ref="E1:I1"/>
    <mergeCell ref="E2:I2"/>
    <mergeCell ref="E3:I3"/>
    <mergeCell ref="C5:D5"/>
    <mergeCell ref="C6:D6"/>
    <mergeCell ref="E6:F6"/>
    <mergeCell ref="G6:H6"/>
  </mergeCells>
  <hyperlinks>
    <hyperlink ref="A4" location="'תוכן הענינים'!A1" tooltip="לחץ להצגת גליון תוכן הענינים" display="הצג תוכן ענינים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6"/>
  <sheetViews>
    <sheetView rightToLeft="1" workbookViewId="0">
      <selection sqref="A1:P1048576"/>
    </sheetView>
  </sheetViews>
  <sheetFormatPr defaultRowHeight="14.25" x14ac:dyDescent="0.2"/>
  <cols>
    <col min="1" max="1" width="9" style="7"/>
    <col min="2" max="2" width="24.75" style="109" customWidth="1"/>
    <col min="3" max="4" width="10.75" style="7" customWidth="1"/>
    <col min="5" max="5" width="9" style="7"/>
    <col min="6" max="6" width="10.75" style="7" customWidth="1"/>
    <col min="7" max="7" width="7.875" style="7" customWidth="1"/>
    <col min="8" max="8" width="1.875" style="7" customWidth="1"/>
    <col min="9" max="9" width="23.625" style="7" customWidth="1"/>
    <col min="10" max="11" width="10.75" style="7" customWidth="1"/>
    <col min="12" max="16" width="9" style="7"/>
  </cols>
  <sheetData>
    <row r="1" spans="1:14" ht="15.75" x14ac:dyDescent="0.2">
      <c r="A1" s="1"/>
      <c r="B1" s="2"/>
      <c r="C1" s="3"/>
      <c r="D1" s="3"/>
      <c r="E1" s="4" t="str">
        <f>'[1]הגדרות כלליות'!D6</f>
        <v>עיריית קרית מלאכי</v>
      </c>
      <c r="F1" s="4"/>
      <c r="G1" s="4"/>
      <c r="H1" s="4"/>
      <c r="I1" s="4"/>
      <c r="J1" s="3"/>
      <c r="K1" s="3"/>
      <c r="L1" s="5"/>
      <c r="M1" s="5"/>
      <c r="N1" s="6"/>
    </row>
    <row r="2" spans="1:14" ht="15.75" x14ac:dyDescent="0.2">
      <c r="A2" s="1"/>
      <c r="B2" s="8"/>
      <c r="C2" s="9"/>
      <c r="D2" s="9"/>
      <c r="E2" s="4" t="str">
        <f>CONCATENATE("תמצית הדוחות הכספיים לשנת ",'[1]הגדרות כלליות'!D10)</f>
        <v>תמצית הדוחות הכספיים לשנת 2020</v>
      </c>
      <c r="F2" s="4"/>
      <c r="G2" s="4"/>
      <c r="H2" s="4"/>
      <c r="I2" s="4"/>
      <c r="J2" s="9"/>
      <c r="K2" s="9"/>
      <c r="L2" s="5"/>
      <c r="M2" s="5"/>
      <c r="N2" s="6"/>
    </row>
    <row r="3" spans="1:14" ht="15.75" x14ac:dyDescent="0.2">
      <c r="A3" s="1"/>
      <c r="B3" s="10"/>
      <c r="C3" s="10"/>
      <c r="D3" s="10"/>
      <c r="E3" s="11" t="s">
        <v>0</v>
      </c>
      <c r="F3" s="11"/>
      <c r="G3" s="11"/>
      <c r="H3" s="11"/>
      <c r="I3" s="11"/>
      <c r="J3" s="10"/>
      <c r="K3" s="10"/>
      <c r="L3" s="5"/>
      <c r="M3" s="5"/>
      <c r="N3" s="6"/>
    </row>
    <row r="4" spans="1:14" x14ac:dyDescent="0.2">
      <c r="A4" s="12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6"/>
    </row>
    <row r="5" spans="1:14" x14ac:dyDescent="0.2">
      <c r="A5" s="14"/>
      <c r="B5" s="15" t="s">
        <v>2</v>
      </c>
      <c r="C5" s="16">
        <f>'[1]נתונים כלליים'!$C$3</f>
        <v>26027</v>
      </c>
      <c r="D5" s="16"/>
      <c r="E5" s="17"/>
      <c r="F5" s="17"/>
      <c r="G5" s="18"/>
      <c r="H5" s="18"/>
      <c r="I5" s="13"/>
      <c r="J5" s="13"/>
      <c r="K5" s="13"/>
      <c r="L5" s="14"/>
      <c r="M5" s="14"/>
      <c r="N5" s="6"/>
    </row>
    <row r="6" spans="1:14" x14ac:dyDescent="0.2">
      <c r="A6" s="14"/>
      <c r="B6" s="15" t="s">
        <v>3</v>
      </c>
      <c r="C6" s="16">
        <f>'[1]נתונים כלליים'!$C$4</f>
        <v>26477</v>
      </c>
      <c r="D6" s="16"/>
      <c r="E6" s="19" t="s">
        <v>4</v>
      </c>
      <c r="F6" s="19"/>
      <c r="G6" s="20">
        <f>'[1]נתונים כלליים'!$G$4</f>
        <v>5800</v>
      </c>
      <c r="H6" s="20"/>
      <c r="I6" s="13"/>
      <c r="J6" s="13"/>
      <c r="K6" s="13"/>
      <c r="L6" s="14"/>
      <c r="M6" s="14"/>
      <c r="N6" s="6"/>
    </row>
    <row r="7" spans="1:14" x14ac:dyDescent="0.2">
      <c r="A7" s="14"/>
      <c r="B7" s="15" t="s">
        <v>5</v>
      </c>
      <c r="C7" s="16">
        <f>'[1]נתונים כלליים'!$C$5</f>
        <v>8665</v>
      </c>
      <c r="D7" s="16"/>
      <c r="E7" s="19" t="s">
        <v>6</v>
      </c>
      <c r="F7" s="19"/>
      <c r="G7" s="21">
        <f>'[1]נתונים כלליים'!$G$5</f>
        <v>4</v>
      </c>
      <c r="H7" s="21"/>
      <c r="I7" s="13"/>
      <c r="J7" s="13"/>
      <c r="K7" s="13"/>
      <c r="L7" s="14"/>
      <c r="M7" s="14"/>
      <c r="N7" s="6"/>
    </row>
    <row r="8" spans="1:14" x14ac:dyDescent="0.2">
      <c r="A8" s="14"/>
      <c r="B8" s="22"/>
      <c r="C8" s="23"/>
      <c r="D8" s="23"/>
      <c r="E8" s="23"/>
      <c r="F8" s="23"/>
      <c r="G8" s="24"/>
      <c r="H8" s="24"/>
      <c r="I8" s="13"/>
      <c r="J8" s="13"/>
      <c r="K8" s="13"/>
      <c r="L8" s="14"/>
      <c r="M8" s="14"/>
      <c r="N8" s="6"/>
    </row>
    <row r="9" spans="1:14" x14ac:dyDescent="0.2">
      <c r="A9" s="14"/>
      <c r="B9" s="25" t="s">
        <v>7</v>
      </c>
      <c r="C9" s="25"/>
      <c r="D9" s="25"/>
      <c r="E9" s="25"/>
      <c r="F9" s="25"/>
      <c r="G9" s="25"/>
      <c r="H9" s="26"/>
      <c r="I9" s="27" t="s">
        <v>8</v>
      </c>
      <c r="J9" s="27"/>
      <c r="K9" s="27"/>
      <c r="L9" s="14"/>
      <c r="M9" s="14"/>
      <c r="N9" s="6"/>
    </row>
    <row r="10" spans="1:14" x14ac:dyDescent="0.2">
      <c r="A10" s="14"/>
      <c r="B10" s="28" t="s">
        <v>9</v>
      </c>
      <c r="C10" s="29" t="str">
        <f>CONCATENATE("תקציב ",'[1]הגדרות כלליות'!D10)</f>
        <v>תקציב 2020</v>
      </c>
      <c r="D10" s="29" t="str">
        <f>CONCATENATE("ביצוע ",'[1]הגדרות כלליות'!D10)</f>
        <v>ביצוע 2020</v>
      </c>
      <c r="E10" s="29" t="s">
        <v>10</v>
      </c>
      <c r="F10" s="29" t="str">
        <f>CONCATENATE("ביצוע ",'[1]הגדרות כלליות'!D12)</f>
        <v>ביצוע 2019</v>
      </c>
      <c r="G10" s="30" t="s">
        <v>10</v>
      </c>
      <c r="H10" s="31"/>
      <c r="I10" s="32" t="s">
        <v>11</v>
      </c>
      <c r="J10" s="33">
        <f>'[1]הגדרות כלליות'!D10</f>
        <v>2020</v>
      </c>
      <c r="K10" s="34">
        <f>'[1]הגדרות כלליות'!D12</f>
        <v>2019</v>
      </c>
      <c r="L10" s="35"/>
      <c r="M10" s="14"/>
      <c r="N10" s="6"/>
    </row>
    <row r="11" spans="1:14" x14ac:dyDescent="0.2">
      <c r="A11" s="14"/>
      <c r="B11" s="36" t="s">
        <v>12</v>
      </c>
      <c r="C11" s="37">
        <f>'[1]נספח 3 לטופס 2'!E8+'[1]נספח 3 לטופס 2'!E9+'[1]נספח 3 לטופס 2'!E10+'[1]נספח 3 לטופס 2'!E11+'[1]נספח 3 לטופס 2'!E19</f>
        <v>89937</v>
      </c>
      <c r="D11" s="38">
        <f>'[1]נספח 3 לטופס 2'!G8+'[1]נספח 3 לטופס 2'!G9+'[1]נספח 3 לטופס 2'!G10+'[1]נספח 3 לטופס 2'!G11+'[1]נספח 3 לטופס 2'!G19</f>
        <v>89954</v>
      </c>
      <c r="E11" s="39">
        <f>IF($D$16=0,0,D11/$D$16)</f>
        <v>0.40243373224471535</v>
      </c>
      <c r="F11" s="38">
        <f>'[1]נספח 3 לטופס 2'!M8+'[1]נספח 3 לטופס 2'!M9+'[1]נספח 3 לטופס 2'!M10+'[1]נספח 3 לטופס 2'!M11+'[1]נספח 3 לטופס 2'!M19</f>
        <v>95485</v>
      </c>
      <c r="G11" s="40">
        <f>IF($F$16=0,0,F11/$F$16)</f>
        <v>0.43750486829263824</v>
      </c>
      <c r="H11" s="31"/>
      <c r="I11" s="41" t="s">
        <v>13</v>
      </c>
      <c r="J11" s="37">
        <f>'[1]טופס 1 אקטיב'!$F$12+'[1]טופס 1 אקטיב'!F14</f>
        <v>22103</v>
      </c>
      <c r="K11" s="42">
        <f>'[1]טופס 1 אקטיב'!$H$12+'[1]טופס 1 אקטיב'!H14</f>
        <v>28102</v>
      </c>
      <c r="L11" s="35"/>
      <c r="M11" s="14"/>
      <c r="N11" s="6"/>
    </row>
    <row r="12" spans="1:14" x14ac:dyDescent="0.2">
      <c r="A12" s="14"/>
      <c r="B12" s="36" t="s">
        <v>14</v>
      </c>
      <c r="C12" s="43">
        <f>'[1]נספח 3 לטופס 2'!E12</f>
        <v>48934</v>
      </c>
      <c r="D12" s="44">
        <f>'[1]נספח 3 לטופס 2'!G12</f>
        <v>51033</v>
      </c>
      <c r="E12" s="45">
        <f>IF($D$16=0,0,D12/$D$16)</f>
        <v>0.22831003243485068</v>
      </c>
      <c r="F12" s="44">
        <f>'[1]נספח 3 לטופס 2'!M12</f>
        <v>46430</v>
      </c>
      <c r="G12" s="46">
        <f>IF($F$16=0,0,F12/$F$16)</f>
        <v>0.21273866088733512</v>
      </c>
      <c r="H12" s="31"/>
      <c r="I12" s="41" t="s">
        <v>15</v>
      </c>
      <c r="J12" s="43">
        <f>'[1]טופס 1 אקטיב'!$F$16+'[1]טופס 1 אקטיב'!F18</f>
        <v>74234</v>
      </c>
      <c r="K12" s="47">
        <f>'[1]טופס 1 אקטיב'!$H$16+'[1]טופס 1 אקטיב'!H18</f>
        <v>55587</v>
      </c>
      <c r="L12" s="35"/>
      <c r="M12" s="14"/>
      <c r="N12" s="6"/>
    </row>
    <row r="13" spans="1:14" x14ac:dyDescent="0.2">
      <c r="A13" s="14"/>
      <c r="B13" s="36" t="s">
        <v>16</v>
      </c>
      <c r="C13" s="43">
        <f>'[1]נספח 3 לטופס 2'!E13</f>
        <v>29740</v>
      </c>
      <c r="D13" s="44">
        <f>'[1]נספח 3 לטופס 2'!G13</f>
        <v>30609</v>
      </c>
      <c r="E13" s="45">
        <f>IF($D$16=0,0,D13/$D$16)</f>
        <v>0.1369377027178168</v>
      </c>
      <c r="F13" s="44">
        <f>'[1]נספח 3 לטופס 2'!M13</f>
        <v>27786</v>
      </c>
      <c r="G13" s="46">
        <f>IF($F$16=0,0,F13/$F$16)</f>
        <v>0.12731329811362252</v>
      </c>
      <c r="H13" s="31"/>
      <c r="I13" s="48" t="s">
        <v>17</v>
      </c>
      <c r="J13" s="49">
        <f>'[1]טופס 1 אקטיב'!$F$20+'[1]טופס 1 אקטיב'!$F$22</f>
        <v>25194</v>
      </c>
      <c r="K13" s="50">
        <f>'[1]טופס 1 אקטיב'!$H$20+'[1]טופס 1 אקטיב'!$H$22</f>
        <v>25194</v>
      </c>
      <c r="L13" s="35"/>
      <c r="M13" s="14"/>
      <c r="N13" s="6"/>
    </row>
    <row r="14" spans="1:14" ht="25.5" x14ac:dyDescent="0.2">
      <c r="A14" s="14"/>
      <c r="B14" s="51" t="s">
        <v>18</v>
      </c>
      <c r="C14" s="43">
        <f>'[1]נספח 3 לטופס 2'!E14+'[1]נספח 3 לטופס 2'!E18</f>
        <v>16244</v>
      </c>
      <c r="D14" s="44">
        <f>'[1]נספח 3 לטופס 2'!G14+'[1]נספח 3 לטופס 2'!G18</f>
        <v>15206</v>
      </c>
      <c r="E14" s="45">
        <f>IF($D$16=0,0,1-(E11+E12 + E13+E15))</f>
        <v>6.8028184766804611E-2</v>
      </c>
      <c r="F14" s="44">
        <f>'[1]נספח 3 לטופס 2'!M14+'[1]נספח 3 לטופס 2'!M18</f>
        <v>8931</v>
      </c>
      <c r="G14" s="46">
        <f>IF($F$16=0,0,1 - (G11+G12+G13+G15))</f>
        <v>4.0921149695989589E-2</v>
      </c>
      <c r="H14" s="31"/>
      <c r="I14" s="41" t="s">
        <v>19</v>
      </c>
      <c r="J14" s="43">
        <f>'[1]טופס 1 אקטיב'!$F$29+'[1]טופס 1 אקטיב'!$F$31</f>
        <v>21150</v>
      </c>
      <c r="K14" s="47">
        <f>'[1]טופס 1 אקטיב'!$H$29+'[1]טופס 1 אקטיב'!$H$31</f>
        <v>21552</v>
      </c>
      <c r="L14" s="35"/>
      <c r="M14" s="14"/>
      <c r="N14" s="6"/>
    </row>
    <row r="15" spans="1:14" x14ac:dyDescent="0.2">
      <c r="A15" s="14"/>
      <c r="B15" s="36" t="s">
        <v>20</v>
      </c>
      <c r="C15" s="52">
        <f>'[1]נספח 3 לטופס 2'!E15+'[1]נספח 3 לטופס 2'!E16+'[1]נספח 3 לטופס 2'!E22+'[1]נספח 3 לטופס 2'!E17</f>
        <v>35784</v>
      </c>
      <c r="D15" s="53">
        <f>'[1]נספח 3 לטופס 2'!G15+'[1]נספח 3 לטופס 2'!G16+'[1]נספח 3 לטופס 2'!G22+'[1]נספח 3 לטופס 2'!G17</f>
        <v>36723</v>
      </c>
      <c r="E15" s="54">
        <f>IF($D$16=0,0,D15/$D$16)</f>
        <v>0.16429034783581256</v>
      </c>
      <c r="F15" s="53">
        <f>'[1]נספח 3 לטופס 2'!M15+'[1]נספח 3 לטופס 2'!M16+'[1]נספח 3 לטופס 2'!M22+'[1]נספח 3 לטופס 2'!M17</f>
        <v>39617</v>
      </c>
      <c r="G15" s="55">
        <f>IF($F$16=0,0,F15/$F$16)</f>
        <v>0.1815220230104147</v>
      </c>
      <c r="H15" s="31"/>
      <c r="I15" s="41" t="s">
        <v>21</v>
      </c>
      <c r="J15" s="43">
        <f>'[1]טופס 1 אקטיב'!$F$33+'[1]טופס 1 אקטיב'!$F$34</f>
        <v>0</v>
      </c>
      <c r="K15" s="47">
        <f>'[1]טופס 1 אקטיב'!$H$33+'[1]טופס 1 אקטיב'!$H$34</f>
        <v>0</v>
      </c>
      <c r="L15" s="35"/>
      <c r="M15" s="14"/>
      <c r="N15" s="6"/>
    </row>
    <row r="16" spans="1:14" ht="15" thickBot="1" x14ac:dyDescent="0.25">
      <c r="A16" s="14"/>
      <c r="B16" s="56" t="s">
        <v>22</v>
      </c>
      <c r="C16" s="57">
        <f>SUM(C11:C15)</f>
        <v>220639</v>
      </c>
      <c r="D16" s="58">
        <f>SUM(D11:D15)</f>
        <v>223525</v>
      </c>
      <c r="E16" s="59">
        <f>SUM(E11:E15)</f>
        <v>1</v>
      </c>
      <c r="F16" s="58">
        <f>SUM(F11:F15)</f>
        <v>218249</v>
      </c>
      <c r="G16" s="60">
        <f>SUM(G11:G15)</f>
        <v>1</v>
      </c>
      <c r="H16" s="31"/>
      <c r="I16" s="41" t="s">
        <v>23</v>
      </c>
      <c r="J16" s="43">
        <f>'[1]טופס 1 אקטיב'!$F$36+'[1]טופס 1 אקטיב'!$F$37</f>
        <v>0</v>
      </c>
      <c r="K16" s="47">
        <f>'[1]טופס 1 אקטיב'!$H$36+'[1]טופס 1 אקטיב'!$H$37</f>
        <v>0</v>
      </c>
      <c r="L16" s="35"/>
      <c r="M16" s="14"/>
      <c r="N16" s="6"/>
    </row>
    <row r="17" spans="1:14" ht="15.75" thickTop="1" thickBot="1" x14ac:dyDescent="0.25">
      <c r="A17" s="14"/>
      <c r="B17" s="41"/>
      <c r="C17" s="61"/>
      <c r="D17" s="61"/>
      <c r="E17" s="61"/>
      <c r="F17" s="61"/>
      <c r="G17" s="62"/>
      <c r="H17" s="31"/>
      <c r="I17" s="56" t="s">
        <v>22</v>
      </c>
      <c r="J17" s="57">
        <f>SUM(J11:J16)</f>
        <v>142681</v>
      </c>
      <c r="K17" s="63">
        <f>SUM(K11:K16)</f>
        <v>130435</v>
      </c>
      <c r="L17" s="35"/>
      <c r="M17" s="14"/>
      <c r="N17" s="6"/>
    </row>
    <row r="18" spans="1:14" ht="15" thickTop="1" x14ac:dyDescent="0.2">
      <c r="A18" s="14"/>
      <c r="B18" s="28" t="s">
        <v>24</v>
      </c>
      <c r="C18" s="29" t="str">
        <f>$C10</f>
        <v>תקציב 2020</v>
      </c>
      <c r="D18" s="29" t="str">
        <f>$D10</f>
        <v>ביצוע 2020</v>
      </c>
      <c r="E18" s="29" t="s">
        <v>10</v>
      </c>
      <c r="F18" s="29" t="str">
        <f>$F10</f>
        <v>ביצוע 2019</v>
      </c>
      <c r="G18" s="30" t="s">
        <v>10</v>
      </c>
      <c r="H18" s="31"/>
      <c r="I18" s="56"/>
      <c r="J18" s="64"/>
      <c r="K18" s="65"/>
      <c r="L18" s="35"/>
      <c r="M18" s="14"/>
      <c r="N18" s="6"/>
    </row>
    <row r="19" spans="1:14" x14ac:dyDescent="0.2">
      <c r="A19" s="14"/>
      <c r="B19" s="36" t="s">
        <v>25</v>
      </c>
      <c r="C19" s="37">
        <f>'[1]נספח 3 לטופס 2'!E26</f>
        <v>36649</v>
      </c>
      <c r="D19" s="38">
        <f>'[1]נספח 3 לטופס 2'!G26</f>
        <v>36007</v>
      </c>
      <c r="E19" s="39">
        <f>IF($D$27=0,0,D19/$D$27)</f>
        <v>0.16137735688387123</v>
      </c>
      <c r="F19" s="38">
        <f>'[1]נספח 3 לטופס 2'!M26</f>
        <v>36312</v>
      </c>
      <c r="G19" s="40">
        <f>IF($F$27=0,0,F19/$F$27)</f>
        <v>0.16681520410882128</v>
      </c>
      <c r="H19" s="31"/>
      <c r="I19" s="32" t="s">
        <v>26</v>
      </c>
      <c r="J19" s="33">
        <f>J10</f>
        <v>2020</v>
      </c>
      <c r="K19" s="34">
        <f>K10</f>
        <v>2019</v>
      </c>
      <c r="L19" s="35"/>
      <c r="M19" s="14"/>
      <c r="N19" s="6"/>
    </row>
    <row r="20" spans="1:14" x14ac:dyDescent="0.2">
      <c r="A20" s="14"/>
      <c r="B20" s="36" t="s">
        <v>27</v>
      </c>
      <c r="C20" s="43">
        <f>'[1]נספח 3 לטופס 2'!E27+'[1]נספח 3 לטופס 2'!E28+'[1]נספח 3 לטופס 2'!E38+'[1]נספח 3 לטופס 2'!E37+'[1]נספח 3 לטופס 2'!E41</f>
        <v>66389</v>
      </c>
      <c r="D20" s="44">
        <f>'[1]נספח 3 לטופס 2'!G27+'[1]נספח 3 לטופס 2'!G28+'[1]נספח 3 לטופס 2'!G37+'[1]נספח 3 לטופס 2'!G38+'[1]נספח 3 לטופס 2'!G41</f>
        <v>68272</v>
      </c>
      <c r="E20" s="45">
        <f>IF($D$27=0,0,1-(E19+E21+E22+E23+E24+E25+E26))</f>
        <v>0.30598369509194479</v>
      </c>
      <c r="F20" s="44">
        <f>'[1]נספח 3 לטופס 2'!M27+'[1]נספח 3 לטופס 2'!M28+'[1]נספח 3 לטופס 2'!M37+'[1]נספח 3 לטופס 2'!M38+'[1]נספח 3 לטופס 2'!M41</f>
        <v>64537</v>
      </c>
      <c r="G20" s="46">
        <f>IF($F$27=0,0,1 - (G19+G21+G22+G23+G24+G25+G26))</f>
        <v>0.29647920322678445</v>
      </c>
      <c r="H20" s="31"/>
      <c r="I20" s="41" t="s">
        <v>28</v>
      </c>
      <c r="J20" s="37">
        <f>'[1]טופס 1 פאסיב'!$G$12</f>
        <v>43240</v>
      </c>
      <c r="K20" s="42">
        <f>'[1]טופס 1 פאסיב'!$I$12</f>
        <v>49641</v>
      </c>
      <c r="L20" s="35"/>
      <c r="M20" s="14"/>
      <c r="N20" s="6"/>
    </row>
    <row r="21" spans="1:14" x14ac:dyDescent="0.2">
      <c r="A21" s="14"/>
      <c r="B21" s="36" t="s">
        <v>29</v>
      </c>
      <c r="C21" s="43">
        <f>'[1]נספח 3 לטופס 2'!E31</f>
        <v>29212</v>
      </c>
      <c r="D21" s="44">
        <f>'[1]נספח 3 לטופס 2'!G31</f>
        <v>29670</v>
      </c>
      <c r="E21" s="45">
        <f t="shared" ref="E21:E26" si="0">IF($D$27=0,0,D21/$D$27)</f>
        <v>0.13297598185754045</v>
      </c>
      <c r="F21" s="44">
        <f>'[1]נספח 3 לטופס 2'!M31</f>
        <v>28635</v>
      </c>
      <c r="G21" s="46">
        <f t="shared" ref="G21:G26" si="1">IF($F$27=0,0,F21/$F$27)</f>
        <v>0.13154751513703727</v>
      </c>
      <c r="H21" s="31"/>
      <c r="I21" s="41" t="str">
        <f>'[1]טופס 1 פאסיב'!B14</f>
        <v>(***)</v>
      </c>
      <c r="J21" s="37">
        <f>'[1]טופס 1 פאסיב'!$G$14</f>
        <v>0</v>
      </c>
      <c r="K21" s="42">
        <f>'[1]טופס 1 פאסיב'!$I$14</f>
        <v>0</v>
      </c>
      <c r="L21" s="35"/>
      <c r="M21" s="14"/>
      <c r="N21" s="6"/>
    </row>
    <row r="22" spans="1:14" x14ac:dyDescent="0.2">
      <c r="A22" s="14"/>
      <c r="B22" s="36" t="s">
        <v>30</v>
      </c>
      <c r="C22" s="43">
        <f>'[1]נספח 3 לטופס 2'!E32</f>
        <v>38508</v>
      </c>
      <c r="D22" s="44">
        <f>'[1]נספח 3 לטופס 2'!G32</f>
        <v>38704</v>
      </c>
      <c r="E22" s="45">
        <f t="shared" si="0"/>
        <v>0.173464860189223</v>
      </c>
      <c r="F22" s="44">
        <f>'[1]נספח 3 לטופס 2'!M32</f>
        <v>40498</v>
      </c>
      <c r="G22" s="46">
        <f t="shared" si="1"/>
        <v>0.1860454432694163</v>
      </c>
      <c r="H22" s="31"/>
      <c r="I22" s="41" t="s">
        <v>31</v>
      </c>
      <c r="J22" s="43">
        <f>'[1]טופס 1 פאסיב'!$G$16+'[1]טופס 1 פאסיב'!G21+'[1]טופס 1 פאסיב'!$G$18</f>
        <v>54392</v>
      </c>
      <c r="K22" s="47">
        <f>'[1]טופס 1 פאסיב'!$I$16+'[1]טופס 1 פאסיב'!$I$21+'[1]טופס 1 פאסיב'!$I$18</f>
        <v>32746</v>
      </c>
      <c r="L22" s="35"/>
      <c r="M22" s="14"/>
      <c r="N22" s="6"/>
    </row>
    <row r="23" spans="1:14" x14ac:dyDescent="0.2">
      <c r="A23" s="14"/>
      <c r="B23" s="36" t="s">
        <v>32</v>
      </c>
      <c r="C23" s="43">
        <f>'[1]נספח 3 לטופס 2'!E33</f>
        <v>7997</v>
      </c>
      <c r="D23" s="44">
        <f>'[1]נספח 3 לטופס 2'!G33</f>
        <v>8266</v>
      </c>
      <c r="E23" s="45">
        <f t="shared" si="0"/>
        <v>3.7046830671871568E-2</v>
      </c>
      <c r="F23" s="44">
        <f>'[1]נספח 3 לטופס 2'!M33</f>
        <v>7598</v>
      </c>
      <c r="G23" s="46">
        <f t="shared" si="1"/>
        <v>3.4904767592499011E-2</v>
      </c>
      <c r="H23" s="31"/>
      <c r="I23" s="41" t="s">
        <v>33</v>
      </c>
      <c r="J23" s="43">
        <f>'[1]טופס 1 פאסיב'!$G$23+'[1]טופס 1 פאסיב'!$G$24</f>
        <v>25194</v>
      </c>
      <c r="K23" s="47">
        <f>'[1]טופס 1 פאסיב'!$I$23+'[1]טופס 1 פאסיב'!$I$24</f>
        <v>25194</v>
      </c>
      <c r="L23" s="35"/>
      <c r="M23" s="14"/>
      <c r="N23" s="6"/>
    </row>
    <row r="24" spans="1:14" x14ac:dyDescent="0.2">
      <c r="A24" s="14"/>
      <c r="B24" s="36" t="s">
        <v>34</v>
      </c>
      <c r="C24" s="43">
        <f>'[1]נספח 3 לטופס 2'!E34</f>
        <v>34587</v>
      </c>
      <c r="D24" s="44">
        <f>'[1]נספח 3 לטופס 2'!G34</f>
        <v>34982</v>
      </c>
      <c r="E24" s="45">
        <f t="shared" si="0"/>
        <v>0.15678347817123292</v>
      </c>
      <c r="F24" s="44">
        <f>'[1]נספח 3 לטופס 2'!M34</f>
        <v>32318</v>
      </c>
      <c r="G24" s="46">
        <f t="shared" si="1"/>
        <v>0.14846700171813412</v>
      </c>
      <c r="H24" s="31"/>
      <c r="I24" s="41" t="s">
        <v>35</v>
      </c>
      <c r="J24" s="43">
        <f>'[1]טופס 1 פאסיב'!$G$31+'[1]טופס 1 פאסיב'!$G$33</f>
        <v>0</v>
      </c>
      <c r="K24" s="47">
        <f>'[1]טופס 1 פאסיב'!$I$31+'[1]טופס 1 פאסיב'!$I$33</f>
        <v>0</v>
      </c>
      <c r="L24" s="35"/>
      <c r="M24" s="14"/>
      <c r="N24" s="6"/>
    </row>
    <row r="25" spans="1:14" x14ac:dyDescent="0.2">
      <c r="A25" s="14"/>
      <c r="B25" s="36" t="s">
        <v>36</v>
      </c>
      <c r="C25" s="43">
        <f>'[1]נספח 3 לטופס 2'!E36</f>
        <v>1053</v>
      </c>
      <c r="D25" s="44">
        <f>'[1]נספח 3 לטופס 2'!G36</f>
        <v>978</v>
      </c>
      <c r="E25" s="45">
        <f t="shared" si="0"/>
        <v>4.3832325667905146E-3</v>
      </c>
      <c r="F25" s="44">
        <f>'[1]נספח 3 לטופס 2'!M36</f>
        <v>1210</v>
      </c>
      <c r="G25" s="46">
        <f t="shared" si="1"/>
        <v>5.5586692270234014E-3</v>
      </c>
      <c r="H25" s="31"/>
      <c r="I25" s="41" t="s">
        <v>37</v>
      </c>
      <c r="J25" s="49">
        <f>'[1]טופס 1 פאסיב'!$G$17</f>
        <v>19855</v>
      </c>
      <c r="K25" s="50">
        <f>'[1]טופס 1 פאסיב'!$I$17</f>
        <v>22854</v>
      </c>
      <c r="L25" s="35"/>
      <c r="M25" s="14"/>
      <c r="N25" s="6"/>
    </row>
    <row r="26" spans="1:14" ht="15" thickBot="1" x14ac:dyDescent="0.25">
      <c r="A26" s="14"/>
      <c r="B26" s="36" t="s">
        <v>38</v>
      </c>
      <c r="C26" s="52">
        <f>'[1]נספח 3 לטופס 2'!E35</f>
        <v>6244</v>
      </c>
      <c r="D26" s="53">
        <f>'[1]נספח 3 לטופס 2'!G35</f>
        <v>6244</v>
      </c>
      <c r="E26" s="45">
        <f t="shared" si="0"/>
        <v>2.7984564567525537E-2</v>
      </c>
      <c r="F26" s="53">
        <f>'[1]נספח 3 לטופס 2'!M35</f>
        <v>6570</v>
      </c>
      <c r="G26" s="46">
        <f t="shared" si="1"/>
        <v>3.0182195720284088E-2</v>
      </c>
      <c r="H26" s="31"/>
      <c r="I26" s="66" t="s">
        <v>22</v>
      </c>
      <c r="J26" s="57">
        <f>SUM(J20:J25)</f>
        <v>142681</v>
      </c>
      <c r="K26" s="63">
        <f>SUM(K20:K25)</f>
        <v>130435</v>
      </c>
      <c r="L26" s="35"/>
      <c r="M26" s="14"/>
      <c r="N26" s="6"/>
    </row>
    <row r="27" spans="1:14" ht="15.75" thickTop="1" thickBot="1" x14ac:dyDescent="0.25">
      <c r="A27" s="14"/>
      <c r="B27" s="56" t="s">
        <v>22</v>
      </c>
      <c r="C27" s="57">
        <f>SUM(C19:C26)</f>
        <v>220639</v>
      </c>
      <c r="D27" s="58">
        <f>SUM(D19:D26)</f>
        <v>223123</v>
      </c>
      <c r="E27" s="59">
        <f>SUM(E19:E26)</f>
        <v>1</v>
      </c>
      <c r="F27" s="58">
        <f>SUM(F19:F26)</f>
        <v>217678</v>
      </c>
      <c r="G27" s="60">
        <f>SUM(G19:G26)</f>
        <v>1</v>
      </c>
      <c r="H27" s="31"/>
      <c r="I27" s="41"/>
      <c r="J27" s="67"/>
      <c r="K27" s="68"/>
      <c r="L27" s="35"/>
      <c r="M27" s="14"/>
      <c r="N27" s="6"/>
    </row>
    <row r="28" spans="1:14" ht="15" thickTop="1" x14ac:dyDescent="0.2">
      <c r="A28" s="14"/>
      <c r="B28" s="36"/>
      <c r="C28" s="67"/>
      <c r="D28" s="69"/>
      <c r="E28" s="69"/>
      <c r="F28" s="69"/>
      <c r="G28" s="70"/>
      <c r="H28" s="31"/>
      <c r="I28" s="71"/>
      <c r="J28" s="33">
        <f>J10</f>
        <v>2020</v>
      </c>
      <c r="K28" s="34">
        <f>K10</f>
        <v>2019</v>
      </c>
      <c r="L28" s="35"/>
      <c r="M28" s="14"/>
      <c r="N28" s="6"/>
    </row>
    <row r="29" spans="1:14" ht="15" thickBot="1" x14ac:dyDescent="0.25">
      <c r="A29" s="14"/>
      <c r="B29" s="56" t="str">
        <f>'[1]טופס 2'!B61</f>
        <v>עודף בשנת הדוח</v>
      </c>
      <c r="C29" s="72">
        <f>C16-C27</f>
        <v>0</v>
      </c>
      <c r="D29" s="73">
        <f>D16-D27</f>
        <v>402</v>
      </c>
      <c r="E29" s="74"/>
      <c r="F29" s="75">
        <f>F16-F27</f>
        <v>571</v>
      </c>
      <c r="G29" s="70"/>
      <c r="H29" s="31"/>
      <c r="I29" s="66" t="s">
        <v>39</v>
      </c>
      <c r="J29" s="76">
        <f>'[1]נספח 3 לטופס 1'!$K$14</f>
        <v>32769</v>
      </c>
      <c r="K29" s="77">
        <f>'[1]נספח 3 לטופס 1'!$M$14</f>
        <v>37992</v>
      </c>
      <c r="L29" s="35"/>
      <c r="M29" s="14"/>
      <c r="N29" s="6"/>
    </row>
    <row r="30" spans="1:14" ht="15" thickTop="1" x14ac:dyDescent="0.2">
      <c r="A30" s="14"/>
      <c r="B30" s="78"/>
      <c r="C30" s="79"/>
      <c r="D30" s="79"/>
      <c r="E30" s="79"/>
      <c r="F30" s="79"/>
      <c r="G30" s="80"/>
      <c r="H30" s="31"/>
      <c r="I30" s="81"/>
      <c r="J30" s="82"/>
      <c r="K30" s="80"/>
      <c r="L30" s="35"/>
      <c r="M30" s="14"/>
      <c r="N30" s="6"/>
    </row>
    <row r="31" spans="1:14" x14ac:dyDescent="0.2">
      <c r="A31" s="1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14"/>
      <c r="N31" s="6"/>
    </row>
    <row r="32" spans="1:14" x14ac:dyDescent="0.2">
      <c r="A32" s="14"/>
      <c r="B32" s="83"/>
      <c r="C32" s="33">
        <f>J10</f>
        <v>2020</v>
      </c>
      <c r="D32" s="34">
        <f>K10</f>
        <v>2019</v>
      </c>
      <c r="E32" s="35"/>
      <c r="F32" s="35"/>
      <c r="G32" s="35"/>
      <c r="H32" s="35"/>
      <c r="I32" s="27" t="s">
        <v>40</v>
      </c>
      <c r="J32" s="27"/>
      <c r="K32" s="27"/>
      <c r="L32" s="35"/>
      <c r="M32" s="14"/>
      <c r="N32" s="6"/>
    </row>
    <row r="33" spans="1:14" x14ac:dyDescent="0.2">
      <c r="A33" s="14"/>
      <c r="B33" s="36" t="s">
        <v>41</v>
      </c>
      <c r="C33" s="84">
        <f>IF(OR(D16=0,D29&gt;=0),0,D29/D16*-1)</f>
        <v>0</v>
      </c>
      <c r="D33" s="85">
        <f>IF(OR(F16=0,F29&gt;=0),0,F29/F16*-1)</f>
        <v>0</v>
      </c>
      <c r="E33" s="35"/>
      <c r="F33" s="35"/>
      <c r="G33" s="35"/>
      <c r="H33" s="35"/>
      <c r="I33" s="71"/>
      <c r="J33" s="33">
        <f>J10</f>
        <v>2020</v>
      </c>
      <c r="K33" s="34">
        <f>K10</f>
        <v>2019</v>
      </c>
      <c r="L33" s="35"/>
      <c r="M33" s="14"/>
      <c r="N33" s="6"/>
    </row>
    <row r="34" spans="1:14" x14ac:dyDescent="0.2">
      <c r="A34" s="14"/>
      <c r="B34" s="36" t="s">
        <v>42</v>
      </c>
      <c r="C34" s="86">
        <f>IF(D16&gt;0,((J14+J15)/D16),0)</f>
        <v>9.4620288558326812E-2</v>
      </c>
      <c r="D34" s="87">
        <f>IF(F16&gt;0,((K14+K15)/F16),0)</f>
        <v>9.8749593354379633E-2</v>
      </c>
      <c r="E34" s="35"/>
      <c r="F34" s="35"/>
      <c r="G34" s="35"/>
      <c r="H34" s="35"/>
      <c r="I34" s="41" t="s">
        <v>43</v>
      </c>
      <c r="J34" s="37">
        <f>'[1]ספר לבן'!C80</f>
        <v>63111.729999999996</v>
      </c>
      <c r="K34" s="42">
        <f>'[1]ספר לבן'!D80</f>
        <v>62039</v>
      </c>
      <c r="L34" s="35"/>
      <c r="M34" s="14"/>
      <c r="N34" s="6"/>
    </row>
    <row r="35" spans="1:14" x14ac:dyDescent="0.2">
      <c r="A35" s="14"/>
      <c r="B35" s="36" t="s">
        <v>44</v>
      </c>
      <c r="C35" s="86">
        <f>IF(D16&gt;0,('[1]נספח 3 לטופס 1'!K14/D16),0)</f>
        <v>0.14660105133653953</v>
      </c>
      <c r="D35" s="87">
        <f>IF(F16&gt;0,('[1]נספח 3 לטופס 1'!M14/F16),0)</f>
        <v>0.17407639897548213</v>
      </c>
      <c r="E35" s="35"/>
      <c r="F35" s="35"/>
      <c r="G35" s="35"/>
      <c r="H35" s="35"/>
      <c r="I35" s="41" t="s">
        <v>45</v>
      </c>
      <c r="J35" s="43">
        <f>'[1]ספר לבן'!C81</f>
        <v>80373.8</v>
      </c>
      <c r="K35" s="47">
        <f>'[1]ספר לבן'!D81</f>
        <v>78111.73</v>
      </c>
      <c r="L35" s="35"/>
      <c r="M35" s="14"/>
      <c r="N35" s="6"/>
    </row>
    <row r="36" spans="1:14" x14ac:dyDescent="0.2">
      <c r="A36" s="14"/>
      <c r="B36" s="36" t="s">
        <v>46</v>
      </c>
      <c r="C36" s="86">
        <f>IF(D16&gt;0,(J20/D16),0)</f>
        <v>0.19344592327480148</v>
      </c>
      <c r="D36" s="87">
        <f>IF(F16=0,0,K20/F16)</f>
        <v>0.22745121398036189</v>
      </c>
      <c r="E36" s="35"/>
      <c r="F36" s="35"/>
      <c r="G36" s="35"/>
      <c r="H36" s="35"/>
      <c r="I36" s="41" t="s">
        <v>47</v>
      </c>
      <c r="J36" s="43">
        <f>'[1]ספר לבן'!C82</f>
        <v>-26866</v>
      </c>
      <c r="K36" s="47">
        <f>'[1]ספר לבן'!D82</f>
        <v>-15702</v>
      </c>
      <c r="L36" s="35"/>
      <c r="M36" s="14"/>
      <c r="N36" s="6"/>
    </row>
    <row r="37" spans="1:14" x14ac:dyDescent="0.2">
      <c r="A37" s="14"/>
      <c r="B37" s="36" t="s">
        <v>48</v>
      </c>
      <c r="C37" s="43">
        <f>IF(C6&gt;0,(D27/C6)*1000,0)</f>
        <v>8427.0498923594059</v>
      </c>
      <c r="D37" s="47">
        <f>IF(C5&gt;0,(F27/C5)*1000,0)</f>
        <v>8363.5455488531152</v>
      </c>
      <c r="E37" s="35"/>
      <c r="F37" s="35"/>
      <c r="G37" s="35"/>
      <c r="H37" s="35"/>
      <c r="I37" s="48" t="s">
        <v>49</v>
      </c>
      <c r="J37" s="43">
        <f>'[1]ספר לבן'!C83</f>
        <v>-49983</v>
      </c>
      <c r="K37" s="47">
        <f>'[1]ספר לבן'!D83</f>
        <v>0</v>
      </c>
      <c r="L37" s="35"/>
      <c r="M37" s="14"/>
      <c r="N37" s="6"/>
    </row>
    <row r="38" spans="1:14" x14ac:dyDescent="0.2">
      <c r="A38" s="14"/>
      <c r="B38" s="36" t="s">
        <v>50</v>
      </c>
      <c r="C38" s="49">
        <f>'[1]נספח 4 לטופס 2 חלק א'!$G$36</f>
        <v>459.35598326984797</v>
      </c>
      <c r="D38" s="50">
        <f>'[1]נספח 4 לטופס 2 חלק א'!$M$36</f>
        <v>455.95100182869908</v>
      </c>
      <c r="E38" s="35"/>
      <c r="F38" s="35"/>
      <c r="G38" s="35"/>
      <c r="H38" s="35"/>
      <c r="I38" s="41" t="s">
        <v>51</v>
      </c>
      <c r="J38" s="43">
        <f>J34+J35+J36+J37</f>
        <v>66636.53</v>
      </c>
      <c r="K38" s="47">
        <f>K34+K35+K36+K37</f>
        <v>124448.72999999998</v>
      </c>
      <c r="L38" s="35"/>
      <c r="M38" s="14"/>
      <c r="N38" s="6"/>
    </row>
    <row r="39" spans="1:14" x14ac:dyDescent="0.2">
      <c r="A39" s="14"/>
      <c r="B39" s="78"/>
      <c r="C39" s="82"/>
      <c r="D39" s="80"/>
      <c r="E39" s="35"/>
      <c r="F39" s="35"/>
      <c r="G39" s="35"/>
      <c r="H39" s="35"/>
      <c r="I39" s="41" t="s">
        <v>52</v>
      </c>
      <c r="J39" s="43">
        <f>'[1]ספר לבן'!C85</f>
        <v>52231</v>
      </c>
      <c r="K39" s="47">
        <f>'[1]ספר לבן'!D85</f>
        <v>61337</v>
      </c>
      <c r="L39" s="35"/>
      <c r="M39" s="14"/>
      <c r="N39" s="6"/>
    </row>
    <row r="40" spans="1:14" x14ac:dyDescent="0.2">
      <c r="A40" s="14"/>
      <c r="B40" s="35"/>
      <c r="C40" s="35"/>
      <c r="D40" s="35"/>
      <c r="E40" s="35"/>
      <c r="F40" s="35"/>
      <c r="G40" s="35"/>
      <c r="H40" s="35"/>
      <c r="I40" s="66" t="s">
        <v>53</v>
      </c>
      <c r="J40" s="88">
        <f>J38-J39</f>
        <v>14405.529999999999</v>
      </c>
      <c r="K40" s="89">
        <f>K38-K39</f>
        <v>63111.729999999981</v>
      </c>
      <c r="L40" s="35"/>
      <c r="M40" s="14"/>
      <c r="N40" s="6"/>
    </row>
    <row r="41" spans="1:14" x14ac:dyDescent="0.2">
      <c r="A41" s="18"/>
      <c r="B41" s="90" t="s">
        <v>54</v>
      </c>
      <c r="C41" s="90"/>
      <c r="D41" s="90"/>
      <c r="E41" s="17"/>
      <c r="F41" s="35"/>
      <c r="G41" s="35"/>
      <c r="H41" s="35"/>
      <c r="I41" s="41" t="s">
        <v>55</v>
      </c>
      <c r="J41" s="43">
        <f>'[1]ספר לבן'!C88</f>
        <v>50430</v>
      </c>
      <c r="K41" s="47">
        <f>'[1]ספר לבן'!D88</f>
        <v>820</v>
      </c>
      <c r="L41" s="35"/>
      <c r="M41" s="14"/>
      <c r="N41" s="6"/>
    </row>
    <row r="42" spans="1:14" ht="15" thickBot="1" x14ac:dyDescent="0.25">
      <c r="A42" s="14"/>
      <c r="B42" s="83"/>
      <c r="C42" s="33">
        <f>J10</f>
        <v>2020</v>
      </c>
      <c r="D42" s="34">
        <f>K10</f>
        <v>2019</v>
      </c>
      <c r="E42" s="35"/>
      <c r="F42" s="35"/>
      <c r="G42" s="35"/>
      <c r="H42" s="35"/>
      <c r="I42" s="91" t="s">
        <v>56</v>
      </c>
      <c r="J42" s="92">
        <f>J40+J41</f>
        <v>64835.53</v>
      </c>
      <c r="K42" s="93">
        <f>K40+K41</f>
        <v>63931.729999999981</v>
      </c>
      <c r="L42" s="35"/>
      <c r="M42" s="14"/>
      <c r="N42" s="6"/>
    </row>
    <row r="43" spans="1:14" ht="15" thickTop="1" x14ac:dyDescent="0.2">
      <c r="A43" s="14"/>
      <c r="B43" s="36" t="s">
        <v>57</v>
      </c>
      <c r="C43" s="37">
        <f>'[1]טופס 3'!$G$34</f>
        <v>22854</v>
      </c>
      <c r="D43" s="42">
        <f>'[1]טופס 3'!$I$34</f>
        <v>-193</v>
      </c>
      <c r="E43" s="35"/>
      <c r="F43" s="35"/>
      <c r="G43" s="35"/>
      <c r="H43" s="35"/>
      <c r="I43" s="41" t="s">
        <v>58</v>
      </c>
      <c r="J43" s="94">
        <f>'[1]נספח 2 לטופס 1 - פירוט ד'!$D$36</f>
        <v>0.51793852601079426</v>
      </c>
      <c r="K43" s="95">
        <f>'[1]נספח 2 לטופס 1 - פירוט ד'!$F$36</f>
        <v>9.4138821504030051E-2</v>
      </c>
      <c r="L43" s="35"/>
      <c r="M43" s="14"/>
      <c r="N43" s="6"/>
    </row>
    <row r="44" spans="1:14" x14ac:dyDescent="0.2">
      <c r="A44" s="14"/>
      <c r="B44" s="36" t="s">
        <v>59</v>
      </c>
      <c r="C44" s="43">
        <f>'[1]טופס 3'!$G$18</f>
        <v>40912</v>
      </c>
      <c r="D44" s="47">
        <f>'[1]טופס 3'!$I$18</f>
        <v>62850</v>
      </c>
      <c r="E44" s="35"/>
      <c r="F44" s="35"/>
      <c r="G44" s="35"/>
      <c r="H44" s="35"/>
      <c r="I44" s="41" t="s">
        <v>60</v>
      </c>
      <c r="J44" s="94">
        <f>'[1]נספח 2 לטופס 1 - פירוט ד'!$D$37</f>
        <v>0.83600824375076288</v>
      </c>
      <c r="K44" s="95">
        <f>'[1]נספח 2 לטופס 1 - פירוט ד'!$F$37</f>
        <v>0.91360185408892236</v>
      </c>
      <c r="L44" s="35"/>
      <c r="M44" s="14"/>
      <c r="N44" s="6"/>
    </row>
    <row r="45" spans="1:14" x14ac:dyDescent="0.2">
      <c r="A45" s="14"/>
      <c r="B45" s="36" t="s">
        <v>61</v>
      </c>
      <c r="C45" s="43">
        <f>'[1]טופס 3'!$G$27</f>
        <v>43911</v>
      </c>
      <c r="D45" s="47">
        <f>'[1]טופס 3'!$I$27</f>
        <v>39803</v>
      </c>
      <c r="E45" s="96"/>
      <c r="F45" s="35"/>
      <c r="G45" s="35"/>
      <c r="H45" s="35"/>
      <c r="I45" s="41" t="s">
        <v>62</v>
      </c>
      <c r="J45" s="94">
        <f>'[1]נספח 2 לטופס 1 - פירוט ד'!$D$38</f>
        <v>0.78381932552610412</v>
      </c>
      <c r="K45" s="95">
        <f>'[1]נספח 2 לטופס 1 - פירוט ד'!$F$38</f>
        <v>0.49286963394483818</v>
      </c>
      <c r="L45" s="35"/>
      <c r="M45" s="14"/>
      <c r="N45" s="6"/>
    </row>
    <row r="46" spans="1:14" x14ac:dyDescent="0.2">
      <c r="A46" s="14"/>
      <c r="B46" s="36" t="s">
        <v>63</v>
      </c>
      <c r="C46" s="49">
        <f>C43+C44-C45</f>
        <v>19855</v>
      </c>
      <c r="D46" s="50">
        <f>D43+D44-D45</f>
        <v>22854</v>
      </c>
      <c r="E46" s="35"/>
      <c r="F46" s="35"/>
      <c r="G46" s="35"/>
      <c r="H46" s="35"/>
      <c r="I46" s="81" t="s">
        <v>64</v>
      </c>
      <c r="J46" s="97">
        <f>IF('[1]נתונים לנספח 2 לטופס 1'!$D$26=0,0,('[1]נתונים לנספח 2 לטופס 1'!$D$27/'[1]נתונים לנספח 2 לטופס 1'!$D$26)*1000)</f>
        <v>42.494114652923585</v>
      </c>
      <c r="K46" s="98">
        <f>IF('[1]נתונים לנספח 2 לטופס 1'!$E$26=0,0,('[1]נתונים לנספח 2 לטופס 1'!$E$27/'[1]נתונים לנספח 2 לטופס 1'!$E$26)*1000)</f>
        <v>41.431034482758626</v>
      </c>
      <c r="L46" s="35"/>
      <c r="M46" s="14"/>
      <c r="N46" s="6"/>
    </row>
    <row r="47" spans="1:14" x14ac:dyDescent="0.2">
      <c r="A47" s="14"/>
      <c r="B47" s="99"/>
      <c r="C47" s="100"/>
      <c r="D47" s="101"/>
      <c r="E47" s="14"/>
      <c r="F47" s="102"/>
      <c r="G47" s="103"/>
      <c r="H47" s="103"/>
      <c r="I47" s="102" t="s">
        <v>65</v>
      </c>
      <c r="J47" s="103"/>
      <c r="K47" s="14"/>
      <c r="L47" s="14"/>
      <c r="M47" s="14"/>
      <c r="N47" s="6"/>
    </row>
    <row r="48" spans="1:14" x14ac:dyDescent="0.2">
      <c r="A48" s="14"/>
      <c r="B48" s="104" t="str">
        <f>CONCATENATE("*נכון ל",'[1]נתונים משותפים'!E51)</f>
        <v>*נכון לחודש אוקטובר 2020</v>
      </c>
      <c r="C48" s="14"/>
      <c r="D48" s="14"/>
      <c r="E48" s="14"/>
      <c r="F48" s="105" t="str">
        <f>'[1]נתונים כלליים'!$B$8</f>
        <v>תקציב הרשות אושר על ידי משרד הפנים</v>
      </c>
      <c r="G48" s="105"/>
      <c r="H48" s="105"/>
      <c r="I48" s="105"/>
      <c r="J48" s="106"/>
      <c r="K48" s="14"/>
      <c r="L48" s="14"/>
      <c r="M48" s="14"/>
      <c r="N48" s="6"/>
    </row>
    <row r="49" spans="1:14" x14ac:dyDescent="0.2">
      <c r="A49" s="14"/>
      <c r="B49" s="104"/>
      <c r="C49" s="14"/>
      <c r="D49" s="14"/>
      <c r="E49" s="14"/>
      <c r="F49" s="102" t="str">
        <f>IF('[1]נתונים כלליים'!$B$14='[1]נתונים כלליים'!$B$95,"",'[1]נתונים כלליים'!B14)</f>
        <v/>
      </c>
      <c r="G49" s="103"/>
      <c r="H49" s="103"/>
      <c r="I49" s="103"/>
      <c r="J49" s="14"/>
      <c r="K49" s="14"/>
      <c r="L49" s="14"/>
      <c r="M49" s="14"/>
      <c r="N49" s="6"/>
    </row>
    <row r="50" spans="1:14" ht="15" thickBot="1" x14ac:dyDescent="0.25">
      <c r="A50" s="14"/>
      <c r="B50" s="14" t="str">
        <f>+'[1]נתונים כלליים'!$B$47</f>
        <v/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6"/>
    </row>
    <row r="51" spans="1:14" ht="15" thickTop="1" x14ac:dyDescent="0.2">
      <c r="A51" s="107"/>
      <c r="B51" s="108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194" spans="2:11" ht="15.75" x14ac:dyDescent="0.2">
      <c r="B194" s="110" t="str">
        <f>E1</f>
        <v>עיריית קרית מלאכי</v>
      </c>
      <c r="C194" s="111"/>
      <c r="D194" s="111"/>
      <c r="E194" s="111"/>
      <c r="F194" s="111"/>
      <c r="G194" s="111"/>
      <c r="H194" s="111"/>
      <c r="I194" s="111"/>
      <c r="J194" s="111"/>
      <c r="K194" s="111"/>
    </row>
    <row r="195" spans="2:11" ht="15.75" x14ac:dyDescent="0.2">
      <c r="B195" s="110" t="str">
        <f>E2</f>
        <v>תמצית הדוחות הכספיים לשנת 2020</v>
      </c>
      <c r="C195" s="111"/>
      <c r="D195" s="111"/>
      <c r="E195" s="111"/>
      <c r="F195" s="111"/>
      <c r="G195" s="111"/>
      <c r="H195" s="111"/>
      <c r="I195" s="111"/>
      <c r="J195" s="111"/>
      <c r="K195" s="111"/>
    </row>
    <row r="196" spans="2:11" ht="15.75" x14ac:dyDescent="0.2">
      <c r="B196" s="111" t="str">
        <f>E3</f>
        <v>(באלפי ש"ח)</v>
      </c>
      <c r="C196" s="111"/>
      <c r="D196" s="111"/>
      <c r="E196" s="111"/>
      <c r="F196" s="111"/>
      <c r="G196" s="111"/>
      <c r="H196" s="111"/>
      <c r="I196" s="111"/>
      <c r="J196" s="111"/>
      <c r="K196" s="111"/>
    </row>
    <row r="200" spans="2:11" ht="15" x14ac:dyDescent="0.2">
      <c r="B200" s="112" t="str">
        <f t="shared" ref="B200:C203" si="2">B5</f>
        <v>מספר תושבים שנה קודמת</v>
      </c>
      <c r="C200" s="113">
        <f t="shared" si="2"/>
        <v>26027</v>
      </c>
      <c r="D200" s="113"/>
      <c r="E200" s="114">
        <f t="shared" ref="E200:K203" si="3">E5</f>
        <v>0</v>
      </c>
      <c r="F200" s="114">
        <f t="shared" si="3"/>
        <v>0</v>
      </c>
      <c r="G200" s="114">
        <f t="shared" si="3"/>
        <v>0</v>
      </c>
      <c r="H200" s="114">
        <f t="shared" si="3"/>
        <v>0</v>
      </c>
      <c r="I200" s="115">
        <f t="shared" si="3"/>
        <v>0</v>
      </c>
      <c r="J200" s="115">
        <f t="shared" si="3"/>
        <v>0</v>
      </c>
      <c r="K200" s="115">
        <f t="shared" si="3"/>
        <v>0</v>
      </c>
    </row>
    <row r="201" spans="2:11" ht="15" x14ac:dyDescent="0.2">
      <c r="B201" s="112" t="str">
        <f t="shared" si="2"/>
        <v>מספר תושבים *</v>
      </c>
      <c r="C201" s="113">
        <f t="shared" si="2"/>
        <v>26477</v>
      </c>
      <c r="D201" s="113"/>
      <c r="E201" s="116" t="str">
        <f>E6</f>
        <v>שטח שיפוט (דונם)</v>
      </c>
      <c r="F201" s="116"/>
      <c r="G201" s="113">
        <f>G6</f>
        <v>5800</v>
      </c>
      <c r="H201" s="113"/>
      <c r="I201" s="115">
        <f t="shared" si="3"/>
        <v>0</v>
      </c>
      <c r="J201" s="115">
        <f t="shared" si="3"/>
        <v>0</v>
      </c>
      <c r="K201" s="115">
        <f t="shared" si="3"/>
        <v>0</v>
      </c>
    </row>
    <row r="202" spans="2:11" ht="15" x14ac:dyDescent="0.2">
      <c r="B202" s="112" t="str">
        <f t="shared" si="2"/>
        <v xml:space="preserve">מספר משקי בית </v>
      </c>
      <c r="C202" s="113">
        <f t="shared" si="2"/>
        <v>8665</v>
      </c>
      <c r="D202" s="113"/>
      <c r="E202" s="116" t="str">
        <f>E7</f>
        <v xml:space="preserve">דירוג סוציואקונומי </v>
      </c>
      <c r="F202" s="116"/>
      <c r="G202" s="117">
        <f>G7</f>
        <v>4</v>
      </c>
      <c r="H202" s="117"/>
      <c r="I202" s="115">
        <f t="shared" si="3"/>
        <v>0</v>
      </c>
      <c r="J202" s="115">
        <f t="shared" si="3"/>
        <v>0</v>
      </c>
      <c r="K202" s="115">
        <f t="shared" si="3"/>
        <v>0</v>
      </c>
    </row>
    <row r="203" spans="2:11" x14ac:dyDescent="0.2">
      <c r="B203" s="115">
        <f t="shared" si="2"/>
        <v>0</v>
      </c>
      <c r="C203" s="118">
        <f t="shared" si="2"/>
        <v>0</v>
      </c>
      <c r="D203" s="118">
        <f>D8</f>
        <v>0</v>
      </c>
      <c r="E203" s="118">
        <f>E8</f>
        <v>0</v>
      </c>
      <c r="F203" s="118">
        <f>F8</f>
        <v>0</v>
      </c>
      <c r="G203" s="118">
        <f>G8</f>
        <v>0</v>
      </c>
      <c r="H203" s="118">
        <f t="shared" ref="H203:H235" si="4">H8</f>
        <v>0</v>
      </c>
      <c r="I203" s="115">
        <f t="shared" si="3"/>
        <v>0</v>
      </c>
      <c r="J203" s="115">
        <f t="shared" si="3"/>
        <v>0</v>
      </c>
      <c r="K203" s="115">
        <f t="shared" si="3"/>
        <v>0</v>
      </c>
    </row>
    <row r="204" spans="2:11" ht="15" x14ac:dyDescent="0.2">
      <c r="B204" s="119" t="str">
        <f>B9</f>
        <v>נתוני ביצוע התקציב הרגיל</v>
      </c>
      <c r="C204" s="119"/>
      <c r="D204" s="119"/>
      <c r="E204" s="119"/>
      <c r="F204" s="119"/>
      <c r="G204" s="119"/>
      <c r="H204" s="120">
        <f t="shared" si="4"/>
        <v>0</v>
      </c>
      <c r="I204" s="121" t="str">
        <f>I9</f>
        <v>מאזן</v>
      </c>
      <c r="J204" s="121"/>
      <c r="K204" s="121"/>
    </row>
    <row r="205" spans="2:11" ht="15" x14ac:dyDescent="0.2">
      <c r="B205" s="122" t="str">
        <f>B10</f>
        <v>הכנסות</v>
      </c>
      <c r="C205" s="123" t="str">
        <f t="shared" ref="C205:G220" si="5">C10</f>
        <v>תקציב 2020</v>
      </c>
      <c r="D205" s="123" t="str">
        <f t="shared" si="5"/>
        <v>ביצוע 2020</v>
      </c>
      <c r="E205" s="123" t="str">
        <f t="shared" si="5"/>
        <v>%</v>
      </c>
      <c r="F205" s="123" t="str">
        <f t="shared" si="5"/>
        <v>ביצוע 2019</v>
      </c>
      <c r="G205" s="124" t="str">
        <f t="shared" si="5"/>
        <v>%</v>
      </c>
      <c r="H205" s="120">
        <f t="shared" si="4"/>
        <v>0</v>
      </c>
      <c r="I205" s="125" t="str">
        <f>I10</f>
        <v>נכסים</v>
      </c>
      <c r="J205" s="126">
        <f t="shared" ref="J205:K220" si="6">J10</f>
        <v>2020</v>
      </c>
      <c r="K205" s="127">
        <f t="shared" si="6"/>
        <v>2019</v>
      </c>
    </row>
    <row r="206" spans="2:11" x14ac:dyDescent="0.2">
      <c r="B206" s="128" t="str">
        <f t="shared" ref="B206:B211" si="7">IF(AND($C11=0,$D11=0,$E11=0,$F11=0,$G11=0),"",$B11)</f>
        <v xml:space="preserve">הכנסות עצמיות </v>
      </c>
      <c r="C206" s="129">
        <f t="shared" si="5"/>
        <v>89937</v>
      </c>
      <c r="D206" s="129">
        <f t="shared" si="5"/>
        <v>89954</v>
      </c>
      <c r="E206" s="130">
        <f t="shared" si="5"/>
        <v>0.40243373224471535</v>
      </c>
      <c r="F206" s="129">
        <f t="shared" si="5"/>
        <v>95485</v>
      </c>
      <c r="G206" s="131">
        <f t="shared" si="5"/>
        <v>0.43750486829263824</v>
      </c>
      <c r="H206" s="120">
        <f t="shared" si="4"/>
        <v>0</v>
      </c>
      <c r="I206" s="132" t="str">
        <f t="shared" ref="I206:I213" si="8">IF(AND($J11=0,$K11=0),"",$I11)</f>
        <v>רכוש שוטף</v>
      </c>
      <c r="J206" s="129">
        <f t="shared" si="6"/>
        <v>22103</v>
      </c>
      <c r="K206" s="133">
        <f t="shared" si="6"/>
        <v>28102</v>
      </c>
    </row>
    <row r="207" spans="2:11" x14ac:dyDescent="0.2">
      <c r="B207" s="128" t="str">
        <f t="shared" si="7"/>
        <v>השתת' משרד החינוך</v>
      </c>
      <c r="C207" s="134">
        <f t="shared" si="5"/>
        <v>48934</v>
      </c>
      <c r="D207" s="134">
        <f t="shared" si="5"/>
        <v>51033</v>
      </c>
      <c r="E207" s="135">
        <f t="shared" si="5"/>
        <v>0.22831003243485068</v>
      </c>
      <c r="F207" s="134">
        <f t="shared" si="5"/>
        <v>46430</v>
      </c>
      <c r="G207" s="136">
        <f t="shared" si="5"/>
        <v>0.21273866088733512</v>
      </c>
      <c r="H207" s="120">
        <f t="shared" si="4"/>
        <v>0</v>
      </c>
      <c r="I207" s="132" t="str">
        <f t="shared" si="8"/>
        <v>השקעות</v>
      </c>
      <c r="J207" s="134">
        <f t="shared" si="6"/>
        <v>74234</v>
      </c>
      <c r="K207" s="137">
        <f t="shared" si="6"/>
        <v>55587</v>
      </c>
    </row>
    <row r="208" spans="2:11" x14ac:dyDescent="0.2">
      <c r="B208" s="128" t="str">
        <f t="shared" si="7"/>
        <v xml:space="preserve">השתת' משרד הרווחה </v>
      </c>
      <c r="C208" s="134">
        <f t="shared" si="5"/>
        <v>29740</v>
      </c>
      <c r="D208" s="134">
        <f t="shared" si="5"/>
        <v>30609</v>
      </c>
      <c r="E208" s="135">
        <f t="shared" si="5"/>
        <v>0.1369377027178168</v>
      </c>
      <c r="F208" s="134">
        <f t="shared" si="5"/>
        <v>27786</v>
      </c>
      <c r="G208" s="136">
        <f t="shared" si="5"/>
        <v>0.12731329811362252</v>
      </c>
      <c r="H208" s="120">
        <f t="shared" si="4"/>
        <v>0</v>
      </c>
      <c r="I208" s="138" t="str">
        <f t="shared" si="8"/>
        <v>השקעות לכיסוי קרנות מתוקצבות ואחרות</v>
      </c>
      <c r="J208" s="134">
        <f t="shared" si="6"/>
        <v>25194</v>
      </c>
      <c r="K208" s="137">
        <f t="shared" si="6"/>
        <v>25194</v>
      </c>
    </row>
    <row r="209" spans="2:11" ht="28.5" x14ac:dyDescent="0.2">
      <c r="B209" s="128" t="str">
        <f t="shared" si="7"/>
        <v>השתת' משרדי ממשלה אחרים וחלף הכנסות עצמיות מארנונה</v>
      </c>
      <c r="C209" s="134">
        <f t="shared" si="5"/>
        <v>16244</v>
      </c>
      <c r="D209" s="134">
        <f t="shared" si="5"/>
        <v>15206</v>
      </c>
      <c r="E209" s="135">
        <f t="shared" si="5"/>
        <v>6.8028184766804611E-2</v>
      </c>
      <c r="F209" s="134">
        <f t="shared" si="5"/>
        <v>8931</v>
      </c>
      <c r="G209" s="136">
        <f t="shared" si="5"/>
        <v>4.0921149695989589E-2</v>
      </c>
      <c r="H209" s="120">
        <f t="shared" si="4"/>
        <v>0</v>
      </c>
      <c r="I209" s="132" t="str">
        <f t="shared" si="8"/>
        <v>גרעון מצטבר בתקציב הרגיל</v>
      </c>
      <c r="J209" s="134">
        <f t="shared" si="6"/>
        <v>21150</v>
      </c>
      <c r="K209" s="137">
        <f t="shared" si="6"/>
        <v>21552</v>
      </c>
    </row>
    <row r="210" spans="2:11" x14ac:dyDescent="0.2">
      <c r="B210" s="128" t="str">
        <f t="shared" si="7"/>
        <v>מענקים ומלוות</v>
      </c>
      <c r="C210" s="139">
        <f t="shared" si="5"/>
        <v>35784</v>
      </c>
      <c r="D210" s="139">
        <f t="shared" si="5"/>
        <v>36723</v>
      </c>
      <c r="E210" s="140">
        <f t="shared" si="5"/>
        <v>0.16429034783581256</v>
      </c>
      <c r="F210" s="139">
        <f t="shared" si="5"/>
        <v>39617</v>
      </c>
      <c r="G210" s="141">
        <f t="shared" si="5"/>
        <v>0.1815220230104147</v>
      </c>
      <c r="H210" s="120">
        <f t="shared" si="4"/>
        <v>0</v>
      </c>
      <c r="I210" s="132" t="str">
        <f t="shared" si="8"/>
        <v/>
      </c>
      <c r="J210" s="134">
        <f t="shared" si="6"/>
        <v>0</v>
      </c>
      <c r="K210" s="137">
        <f t="shared" si="6"/>
        <v>0</v>
      </c>
    </row>
    <row r="211" spans="2:11" ht="15" thickBot="1" x14ac:dyDescent="0.25">
      <c r="B211" s="128" t="str">
        <f t="shared" si="7"/>
        <v>סה"כ</v>
      </c>
      <c r="C211" s="142">
        <f t="shared" si="5"/>
        <v>220639</v>
      </c>
      <c r="D211" s="142">
        <f t="shared" si="5"/>
        <v>223525</v>
      </c>
      <c r="E211" s="143">
        <f t="shared" si="5"/>
        <v>1</v>
      </c>
      <c r="F211" s="142">
        <f t="shared" si="5"/>
        <v>218249</v>
      </c>
      <c r="G211" s="144">
        <f t="shared" si="5"/>
        <v>1</v>
      </c>
      <c r="H211" s="120">
        <f t="shared" si="4"/>
        <v>0</v>
      </c>
      <c r="I211" s="132" t="str">
        <f t="shared" si="8"/>
        <v/>
      </c>
      <c r="J211" s="134">
        <f t="shared" si="6"/>
        <v>0</v>
      </c>
      <c r="K211" s="137">
        <f t="shared" si="6"/>
        <v>0</v>
      </c>
    </row>
    <row r="212" spans="2:11" ht="15.75" thickTop="1" thickBot="1" x14ac:dyDescent="0.25">
      <c r="B212" s="132">
        <f>B17</f>
        <v>0</v>
      </c>
      <c r="C212" s="145">
        <f t="shared" si="5"/>
        <v>0</v>
      </c>
      <c r="D212" s="145">
        <f t="shared" si="5"/>
        <v>0</v>
      </c>
      <c r="E212" s="145">
        <f t="shared" si="5"/>
        <v>0</v>
      </c>
      <c r="F212" s="145">
        <f t="shared" si="5"/>
        <v>0</v>
      </c>
      <c r="G212" s="146">
        <f t="shared" si="5"/>
        <v>0</v>
      </c>
      <c r="H212" s="120">
        <f t="shared" si="4"/>
        <v>0</v>
      </c>
      <c r="I212" s="132" t="str">
        <f t="shared" si="8"/>
        <v>סה"כ</v>
      </c>
      <c r="J212" s="142">
        <f t="shared" si="6"/>
        <v>142681</v>
      </c>
      <c r="K212" s="147">
        <f t="shared" si="6"/>
        <v>130435</v>
      </c>
    </row>
    <row r="213" spans="2:11" ht="15.75" thickTop="1" x14ac:dyDescent="0.2">
      <c r="B213" s="122" t="str">
        <f>B18</f>
        <v>הוצאות</v>
      </c>
      <c r="C213" s="123" t="str">
        <f t="shared" si="5"/>
        <v>תקציב 2020</v>
      </c>
      <c r="D213" s="123" t="str">
        <f t="shared" si="5"/>
        <v>ביצוע 2020</v>
      </c>
      <c r="E213" s="123" t="str">
        <f t="shared" si="5"/>
        <v>%</v>
      </c>
      <c r="F213" s="123" t="str">
        <f t="shared" si="5"/>
        <v>ביצוע 2019</v>
      </c>
      <c r="G213" s="124" t="str">
        <f t="shared" si="5"/>
        <v>%</v>
      </c>
      <c r="H213" s="120">
        <f t="shared" si="4"/>
        <v>0</v>
      </c>
      <c r="I213" s="132" t="str">
        <f t="shared" si="8"/>
        <v/>
      </c>
      <c r="J213" s="148">
        <f t="shared" si="6"/>
        <v>0</v>
      </c>
      <c r="K213" s="149">
        <f t="shared" si="6"/>
        <v>0</v>
      </c>
    </row>
    <row r="214" spans="2:11" ht="15" x14ac:dyDescent="0.2">
      <c r="B214" s="128" t="str">
        <f t="shared" ref="B214:B222" si="9">IF(AND($C19=0,$D19=0,$E19=0,$F19=0,$G19=0),"",$B19)</f>
        <v>משכורות ושכר כללי</v>
      </c>
      <c r="C214" s="129">
        <f t="shared" si="5"/>
        <v>36649</v>
      </c>
      <c r="D214" s="129">
        <f t="shared" si="5"/>
        <v>36007</v>
      </c>
      <c r="E214" s="150">
        <f t="shared" si="5"/>
        <v>0.16137735688387123</v>
      </c>
      <c r="F214" s="129">
        <f t="shared" si="5"/>
        <v>36312</v>
      </c>
      <c r="G214" s="151">
        <f t="shared" si="5"/>
        <v>0.16681520410882128</v>
      </c>
      <c r="H214" s="120">
        <f t="shared" si="4"/>
        <v>0</v>
      </c>
      <c r="I214" s="125" t="str">
        <f>I19</f>
        <v>התחייבויות</v>
      </c>
      <c r="J214" s="126">
        <f t="shared" si="6"/>
        <v>2020</v>
      </c>
      <c r="K214" s="127">
        <f t="shared" si="6"/>
        <v>2019</v>
      </c>
    </row>
    <row r="215" spans="2:11" x14ac:dyDescent="0.2">
      <c r="B215" s="128" t="str">
        <f t="shared" si="9"/>
        <v>פעולות אחרות</v>
      </c>
      <c r="C215" s="134">
        <f t="shared" si="5"/>
        <v>66389</v>
      </c>
      <c r="D215" s="134">
        <f t="shared" si="5"/>
        <v>68272</v>
      </c>
      <c r="E215" s="135">
        <f t="shared" si="5"/>
        <v>0.30598369509194479</v>
      </c>
      <c r="F215" s="134">
        <f t="shared" si="5"/>
        <v>64537</v>
      </c>
      <c r="G215" s="136">
        <f t="shared" si="5"/>
        <v>0.29647920322678445</v>
      </c>
      <c r="H215" s="120">
        <f t="shared" si="4"/>
        <v>0</v>
      </c>
      <c r="I215" s="132" t="str">
        <f>IF(AND($J20=0,$K20=0),"",$I20)</f>
        <v>התחייבויות שוטפות</v>
      </c>
      <c r="J215" s="134">
        <f t="shared" si="6"/>
        <v>43240</v>
      </c>
      <c r="K215" s="137">
        <f>K20</f>
        <v>49641</v>
      </c>
    </row>
    <row r="216" spans="2:11" x14ac:dyDescent="0.2">
      <c r="B216" s="128" t="str">
        <f t="shared" si="9"/>
        <v>שכר חינוך</v>
      </c>
      <c r="C216" s="134">
        <f t="shared" si="5"/>
        <v>29212</v>
      </c>
      <c r="D216" s="134">
        <f t="shared" si="5"/>
        <v>29670</v>
      </c>
      <c r="E216" s="135">
        <f t="shared" si="5"/>
        <v>0.13297598185754045</v>
      </c>
      <c r="F216" s="134">
        <f t="shared" si="5"/>
        <v>28635</v>
      </c>
      <c r="G216" s="136">
        <f t="shared" si="5"/>
        <v>0.13154751513703727</v>
      </c>
      <c r="H216" s="120">
        <f t="shared" si="4"/>
        <v>0</v>
      </c>
      <c r="I216" s="132" t="str">
        <f>IF(AND($I21&lt;&gt;"(***)",OR($J21&lt;&gt;0,$K21&lt;&gt;0)),$I21,"")</f>
        <v/>
      </c>
      <c r="J216" s="134">
        <f t="shared" si="6"/>
        <v>0</v>
      </c>
      <c r="K216" s="137">
        <f t="shared" si="6"/>
        <v>0</v>
      </c>
    </row>
    <row r="217" spans="2:11" x14ac:dyDescent="0.2">
      <c r="B217" s="128" t="str">
        <f t="shared" si="9"/>
        <v>פעולות חינוך</v>
      </c>
      <c r="C217" s="134">
        <f t="shared" si="5"/>
        <v>38508</v>
      </c>
      <c r="D217" s="134">
        <f t="shared" si="5"/>
        <v>38704</v>
      </c>
      <c r="E217" s="135">
        <f t="shared" si="5"/>
        <v>0.173464860189223</v>
      </c>
      <c r="F217" s="134">
        <f t="shared" si="5"/>
        <v>40498</v>
      </c>
      <c r="G217" s="136">
        <f t="shared" si="5"/>
        <v>0.1860454432694163</v>
      </c>
      <c r="H217" s="120">
        <f t="shared" si="4"/>
        <v>0</v>
      </c>
      <c r="I217" s="132" t="str">
        <f>IF(AND($J22=0,$K22=0),"",$I22)</f>
        <v>קרן לעבודות פיתוח ואחרות</v>
      </c>
      <c r="J217" s="134">
        <f t="shared" si="6"/>
        <v>54392</v>
      </c>
      <c r="K217" s="137">
        <f t="shared" si="6"/>
        <v>32746</v>
      </c>
    </row>
    <row r="218" spans="2:11" x14ac:dyDescent="0.2">
      <c r="B218" s="128" t="str">
        <f t="shared" si="9"/>
        <v>שכר רווחה</v>
      </c>
      <c r="C218" s="134">
        <f t="shared" si="5"/>
        <v>7997</v>
      </c>
      <c r="D218" s="134">
        <f t="shared" si="5"/>
        <v>8266</v>
      </c>
      <c r="E218" s="135">
        <f t="shared" si="5"/>
        <v>3.7046830671871568E-2</v>
      </c>
      <c r="F218" s="134">
        <f t="shared" si="5"/>
        <v>7598</v>
      </c>
      <c r="G218" s="136">
        <f t="shared" si="5"/>
        <v>3.4904767592499011E-2</v>
      </c>
      <c r="H218" s="120">
        <f t="shared" si="4"/>
        <v>0</v>
      </c>
      <c r="I218" s="132" t="str">
        <f>IF(AND($J23=0,$K23=0),"",$I23)</f>
        <v>קרנות מתוקצבות</v>
      </c>
      <c r="J218" s="134">
        <f t="shared" si="6"/>
        <v>25194</v>
      </c>
      <c r="K218" s="137">
        <f t="shared" si="6"/>
        <v>25194</v>
      </c>
    </row>
    <row r="219" spans="2:11" x14ac:dyDescent="0.2">
      <c r="B219" s="128" t="str">
        <f t="shared" si="9"/>
        <v>פעולות רווחה</v>
      </c>
      <c r="C219" s="134">
        <f t="shared" si="5"/>
        <v>34587</v>
      </c>
      <c r="D219" s="134">
        <f t="shared" si="5"/>
        <v>34982</v>
      </c>
      <c r="E219" s="135">
        <f t="shared" si="5"/>
        <v>0.15678347817123292</v>
      </c>
      <c r="F219" s="134">
        <f t="shared" si="5"/>
        <v>32318</v>
      </c>
      <c r="G219" s="136">
        <f t="shared" si="5"/>
        <v>0.14846700171813412</v>
      </c>
      <c r="H219" s="120">
        <f t="shared" si="4"/>
        <v>0</v>
      </c>
      <c r="I219" s="132" t="str">
        <f>IF(AND($J24=0,$K24=0),"",$I24)</f>
        <v/>
      </c>
      <c r="J219" s="134">
        <f t="shared" si="6"/>
        <v>0</v>
      </c>
      <c r="K219" s="137">
        <f t="shared" si="6"/>
        <v>0</v>
      </c>
    </row>
    <row r="220" spans="2:11" x14ac:dyDescent="0.2">
      <c r="B220" s="128" t="str">
        <f t="shared" si="9"/>
        <v>מימון</v>
      </c>
      <c r="C220" s="134">
        <f t="shared" si="5"/>
        <v>1053</v>
      </c>
      <c r="D220" s="134">
        <f t="shared" si="5"/>
        <v>978</v>
      </c>
      <c r="E220" s="135">
        <f t="shared" si="5"/>
        <v>4.3832325667905146E-3</v>
      </c>
      <c r="F220" s="134">
        <f t="shared" si="5"/>
        <v>1210</v>
      </c>
      <c r="G220" s="136">
        <f t="shared" si="5"/>
        <v>5.5586692270234014E-3</v>
      </c>
      <c r="H220" s="120">
        <f t="shared" si="4"/>
        <v>0</v>
      </c>
      <c r="I220" s="132" t="str">
        <f>IF(AND($J25=0,$K25=0),"",$I25)</f>
        <v>עודפים זמניים נטו בתב"ר</v>
      </c>
      <c r="J220" s="134">
        <f t="shared" si="6"/>
        <v>19855</v>
      </c>
      <c r="K220" s="137">
        <f t="shared" si="6"/>
        <v>22854</v>
      </c>
    </row>
    <row r="221" spans="2:11" ht="15" thickBot="1" x14ac:dyDescent="0.25">
      <c r="B221" s="128" t="str">
        <f t="shared" si="9"/>
        <v xml:space="preserve">פרעון מלוות </v>
      </c>
      <c r="C221" s="139">
        <f t="shared" ref="C221:G234" si="10">C26</f>
        <v>6244</v>
      </c>
      <c r="D221" s="139">
        <f t="shared" si="10"/>
        <v>6244</v>
      </c>
      <c r="E221" s="140">
        <f t="shared" si="10"/>
        <v>2.7984564567525537E-2</v>
      </c>
      <c r="F221" s="139">
        <f t="shared" si="10"/>
        <v>6570</v>
      </c>
      <c r="G221" s="141">
        <f t="shared" si="10"/>
        <v>3.0182195720284088E-2</v>
      </c>
      <c r="H221" s="120">
        <f t="shared" si="4"/>
        <v>0</v>
      </c>
      <c r="I221" s="132" t="str">
        <f>IF(AND($J26=0,$K26=0),"",$I26)</f>
        <v>סה"כ</v>
      </c>
      <c r="J221" s="142">
        <f t="shared" ref="J221:K225" si="11">J26</f>
        <v>142681</v>
      </c>
      <c r="K221" s="147">
        <f t="shared" si="11"/>
        <v>130435</v>
      </c>
    </row>
    <row r="222" spans="2:11" ht="15.75" thickTop="1" thickBot="1" x14ac:dyDescent="0.25">
      <c r="B222" s="128" t="str">
        <f t="shared" si="9"/>
        <v>סה"כ</v>
      </c>
      <c r="C222" s="142">
        <f t="shared" si="10"/>
        <v>220639</v>
      </c>
      <c r="D222" s="142">
        <f t="shared" si="10"/>
        <v>223123</v>
      </c>
      <c r="E222" s="143">
        <f t="shared" si="10"/>
        <v>1</v>
      </c>
      <c r="F222" s="142">
        <f t="shared" si="10"/>
        <v>217678</v>
      </c>
      <c r="G222" s="144">
        <f t="shared" si="10"/>
        <v>1</v>
      </c>
      <c r="H222" s="120">
        <f t="shared" si="4"/>
        <v>0</v>
      </c>
      <c r="I222" s="132">
        <f>I27</f>
        <v>0</v>
      </c>
      <c r="J222" s="114">
        <f t="shared" si="11"/>
        <v>0</v>
      </c>
      <c r="K222" s="152">
        <f t="shared" si="11"/>
        <v>0</v>
      </c>
    </row>
    <row r="223" spans="2:11" ht="15.75" thickTop="1" x14ac:dyDescent="0.2">
      <c r="B223" s="128">
        <f>B28</f>
        <v>0</v>
      </c>
      <c r="C223" s="153">
        <f t="shared" si="10"/>
        <v>0</v>
      </c>
      <c r="D223" s="153">
        <f t="shared" si="10"/>
        <v>0</v>
      </c>
      <c r="E223" s="153">
        <f t="shared" si="10"/>
        <v>0</v>
      </c>
      <c r="F223" s="153">
        <f t="shared" si="10"/>
        <v>0</v>
      </c>
      <c r="G223" s="154">
        <f t="shared" si="10"/>
        <v>0</v>
      </c>
      <c r="H223" s="120">
        <f t="shared" si="4"/>
        <v>0</v>
      </c>
      <c r="I223" s="155">
        <f>I28</f>
        <v>0</v>
      </c>
      <c r="J223" s="126">
        <f t="shared" si="11"/>
        <v>2020</v>
      </c>
      <c r="K223" s="127">
        <f t="shared" si="11"/>
        <v>2019</v>
      </c>
    </row>
    <row r="224" spans="2:11" ht="15.75" thickBot="1" x14ac:dyDescent="0.25">
      <c r="B224" s="128" t="str">
        <f>IF(AND($C29=0,$D29=0,$E29=0,$F29=0,$G29=0),"",$B29)</f>
        <v>עודף בשנת הדוח</v>
      </c>
      <c r="C224" s="156">
        <f t="shared" si="10"/>
        <v>0</v>
      </c>
      <c r="D224" s="156">
        <f t="shared" si="10"/>
        <v>402</v>
      </c>
      <c r="E224" s="134">
        <f t="shared" si="10"/>
        <v>0</v>
      </c>
      <c r="F224" s="156">
        <f t="shared" si="10"/>
        <v>571</v>
      </c>
      <c r="G224" s="154">
        <f t="shared" si="10"/>
        <v>0</v>
      </c>
      <c r="H224" s="120">
        <f t="shared" si="4"/>
        <v>0</v>
      </c>
      <c r="I224" s="132" t="str">
        <f>IF(AND($J29=0,$K29=0),"",$I29)</f>
        <v>עומס מלוות לסוף שנה</v>
      </c>
      <c r="J224" s="157">
        <f t="shared" si="11"/>
        <v>32769</v>
      </c>
      <c r="K224" s="158">
        <f t="shared" si="11"/>
        <v>37992</v>
      </c>
    </row>
    <row r="225" spans="2:11" ht="15" thickTop="1" x14ac:dyDescent="0.2">
      <c r="B225" s="159">
        <f>B30</f>
        <v>0</v>
      </c>
      <c r="C225" s="160">
        <f t="shared" si="10"/>
        <v>0</v>
      </c>
      <c r="D225" s="160">
        <f t="shared" si="10"/>
        <v>0</v>
      </c>
      <c r="E225" s="160">
        <f t="shared" si="10"/>
        <v>0</v>
      </c>
      <c r="F225" s="160">
        <f t="shared" si="10"/>
        <v>0</v>
      </c>
      <c r="G225" s="161">
        <f t="shared" si="10"/>
        <v>0</v>
      </c>
      <c r="H225" s="120">
        <f t="shared" si="4"/>
        <v>0</v>
      </c>
      <c r="I225" s="162">
        <f>I30</f>
        <v>0</v>
      </c>
      <c r="J225" s="163">
        <f t="shared" si="11"/>
        <v>0</v>
      </c>
      <c r="K225" s="164">
        <f t="shared" si="11"/>
        <v>0</v>
      </c>
    </row>
    <row r="226" spans="2:11" x14ac:dyDescent="0.2">
      <c r="B226" s="165" t="str">
        <f>+B50</f>
        <v/>
      </c>
      <c r="C226" s="106"/>
      <c r="D226" s="106"/>
      <c r="E226" s="106"/>
      <c r="F226" s="106"/>
      <c r="G226" s="106"/>
      <c r="H226" s="106"/>
      <c r="I226" s="106"/>
      <c r="J226" s="106"/>
      <c r="K226" s="106"/>
    </row>
    <row r="227" spans="2:11" ht="15" x14ac:dyDescent="0.2">
      <c r="B227" s="166">
        <f>B32</f>
        <v>0</v>
      </c>
      <c r="C227" s="126">
        <f t="shared" si="10"/>
        <v>2020</v>
      </c>
      <c r="D227" s="127">
        <f t="shared" si="10"/>
        <v>2019</v>
      </c>
      <c r="E227" s="118">
        <f t="shared" si="10"/>
        <v>0</v>
      </c>
      <c r="F227" s="118">
        <f t="shared" si="10"/>
        <v>0</v>
      </c>
      <c r="G227" s="118">
        <f t="shared" si="10"/>
        <v>0</v>
      </c>
      <c r="H227" s="118">
        <f t="shared" si="4"/>
        <v>0</v>
      </c>
      <c r="I227" s="121" t="str">
        <f>I32</f>
        <v>דוח גביה וחייבים - ארנונה</v>
      </c>
      <c r="J227" s="121"/>
      <c r="K227" s="121"/>
    </row>
    <row r="228" spans="2:11" ht="15" x14ac:dyDescent="0.2">
      <c r="B228" s="128" t="str">
        <f t="shared" ref="B228:B233" si="12">IF(AND($C33=0,$D33=0),"",$B33)</f>
        <v/>
      </c>
      <c r="C228" s="167">
        <f t="shared" si="10"/>
        <v>0</v>
      </c>
      <c r="D228" s="168">
        <f t="shared" si="10"/>
        <v>0</v>
      </c>
      <c r="E228" s="118">
        <f t="shared" si="10"/>
        <v>0</v>
      </c>
      <c r="F228" s="118">
        <f t="shared" si="10"/>
        <v>0</v>
      </c>
      <c r="G228" s="118">
        <f t="shared" si="10"/>
        <v>0</v>
      </c>
      <c r="H228" s="118">
        <f t="shared" si="4"/>
        <v>0</v>
      </c>
      <c r="I228" s="155">
        <f>I33</f>
        <v>0</v>
      </c>
      <c r="J228" s="126">
        <f t="shared" ref="J228:K241" si="13">J33</f>
        <v>2020</v>
      </c>
      <c r="K228" s="127">
        <f t="shared" si="13"/>
        <v>2019</v>
      </c>
    </row>
    <row r="229" spans="2:11" x14ac:dyDescent="0.2">
      <c r="B229" s="128" t="str">
        <f t="shared" si="12"/>
        <v>% הגרעון הנצבר מההכנסה</v>
      </c>
      <c r="C229" s="169">
        <f t="shared" si="10"/>
        <v>9.4620288558326812E-2</v>
      </c>
      <c r="D229" s="170">
        <f t="shared" si="10"/>
        <v>9.8749593354379633E-2</v>
      </c>
      <c r="E229" s="118">
        <f t="shared" si="10"/>
        <v>0</v>
      </c>
      <c r="F229" s="118">
        <f t="shared" si="10"/>
        <v>0</v>
      </c>
      <c r="G229" s="118">
        <f t="shared" si="10"/>
        <v>0</v>
      </c>
      <c r="H229" s="118">
        <f t="shared" si="4"/>
        <v>0</v>
      </c>
      <c r="I229" s="132" t="str">
        <f t="shared" ref="I229:I237" si="14">IF(AND($J34=0,$K34=0),"",$I34)</f>
        <v>יתרת חוב לתחילת השנה</v>
      </c>
      <c r="J229" s="134">
        <f t="shared" si="13"/>
        <v>63111.729999999996</v>
      </c>
      <c r="K229" s="137">
        <f t="shared" si="13"/>
        <v>62039</v>
      </c>
    </row>
    <row r="230" spans="2:11" x14ac:dyDescent="0.2">
      <c r="B230" s="128" t="str">
        <f t="shared" si="12"/>
        <v>% עומס המלוות מההכנסה</v>
      </c>
      <c r="C230" s="169">
        <f t="shared" si="10"/>
        <v>0.14660105133653953</v>
      </c>
      <c r="D230" s="170">
        <f t="shared" si="10"/>
        <v>0.17407639897548213</v>
      </c>
      <c r="E230" s="118">
        <f t="shared" si="10"/>
        <v>0</v>
      </c>
      <c r="F230" s="118">
        <f t="shared" si="10"/>
        <v>0</v>
      </c>
      <c r="G230" s="118">
        <f t="shared" si="10"/>
        <v>0</v>
      </c>
      <c r="H230" s="118">
        <f t="shared" si="4"/>
        <v>0</v>
      </c>
      <c r="I230" s="132" t="str">
        <f t="shared" si="14"/>
        <v>חיוב השנה</v>
      </c>
      <c r="J230" s="134">
        <f t="shared" si="13"/>
        <v>80373.8</v>
      </c>
      <c r="K230" s="137">
        <f t="shared" si="13"/>
        <v>78111.73</v>
      </c>
    </row>
    <row r="231" spans="2:11" x14ac:dyDescent="0.2">
      <c r="B231" s="128" t="str">
        <f t="shared" si="12"/>
        <v>% סך ההתחייבויות מההכנסה</v>
      </c>
      <c r="C231" s="169">
        <f t="shared" si="10"/>
        <v>0.19344592327480148</v>
      </c>
      <c r="D231" s="170">
        <f t="shared" si="10"/>
        <v>0.22745121398036189</v>
      </c>
      <c r="E231" s="118">
        <f t="shared" si="10"/>
        <v>0</v>
      </c>
      <c r="F231" s="118">
        <f t="shared" si="10"/>
        <v>0</v>
      </c>
      <c r="G231" s="118">
        <f t="shared" si="10"/>
        <v>0</v>
      </c>
      <c r="H231" s="118">
        <f t="shared" si="4"/>
        <v>0</v>
      </c>
      <c r="I231" s="132" t="str">
        <f t="shared" si="14"/>
        <v>הנחות ופטורים שניתנו</v>
      </c>
      <c r="J231" s="134">
        <f t="shared" si="13"/>
        <v>-26866</v>
      </c>
      <c r="K231" s="137">
        <f t="shared" si="13"/>
        <v>-15702</v>
      </c>
    </row>
    <row r="232" spans="2:11" x14ac:dyDescent="0.2">
      <c r="B232" s="128" t="str">
        <f t="shared" si="12"/>
        <v>הוצאה ממוצעת לנפש בש"ח</v>
      </c>
      <c r="C232" s="134">
        <f t="shared" si="10"/>
        <v>8427.0498923594059</v>
      </c>
      <c r="D232" s="137">
        <f t="shared" si="10"/>
        <v>8363.5455488531152</v>
      </c>
      <c r="E232" s="118">
        <f t="shared" si="10"/>
        <v>0</v>
      </c>
      <c r="F232" s="118">
        <f t="shared" si="10"/>
        <v>0</v>
      </c>
      <c r="G232" s="118">
        <f t="shared" si="10"/>
        <v>0</v>
      </c>
      <c r="H232" s="118">
        <f t="shared" si="4"/>
        <v>0</v>
      </c>
      <c r="I232" s="132" t="str">
        <f t="shared" si="14"/>
        <v>העברה לחובות מסופקים וחובות למחיקה</v>
      </c>
      <c r="J232" s="134">
        <f t="shared" si="13"/>
        <v>-49983</v>
      </c>
      <c r="K232" s="137">
        <f t="shared" si="13"/>
        <v>0</v>
      </c>
    </row>
    <row r="233" spans="2:11" ht="15" x14ac:dyDescent="0.2">
      <c r="B233" s="128" t="str">
        <f t="shared" si="12"/>
        <v>מספר משרות ממוצע</v>
      </c>
      <c r="C233" s="134">
        <f t="shared" si="10"/>
        <v>459.35598326984797</v>
      </c>
      <c r="D233" s="137">
        <f t="shared" si="10"/>
        <v>455.95100182869908</v>
      </c>
      <c r="E233" s="118">
        <f t="shared" si="10"/>
        <v>0</v>
      </c>
      <c r="F233" s="118">
        <f t="shared" si="10"/>
        <v>0</v>
      </c>
      <c r="G233" s="118">
        <f t="shared" si="10"/>
        <v>0</v>
      </c>
      <c r="H233" s="118">
        <f t="shared" si="4"/>
        <v>0</v>
      </c>
      <c r="I233" s="132" t="str">
        <f t="shared" si="14"/>
        <v>סך לגביה</v>
      </c>
      <c r="J233" s="171">
        <f t="shared" si="13"/>
        <v>66636.53</v>
      </c>
      <c r="K233" s="158">
        <f t="shared" si="13"/>
        <v>124448.72999999998</v>
      </c>
    </row>
    <row r="234" spans="2:11" ht="15" x14ac:dyDescent="0.2">
      <c r="B234" s="172">
        <f>B39</f>
        <v>0</v>
      </c>
      <c r="C234" s="163">
        <f t="shared" si="10"/>
        <v>0</v>
      </c>
      <c r="D234" s="164">
        <f t="shared" si="10"/>
        <v>0</v>
      </c>
      <c r="E234" s="118">
        <f t="shared" si="10"/>
        <v>0</v>
      </c>
      <c r="F234" s="118">
        <f t="shared" si="10"/>
        <v>0</v>
      </c>
      <c r="G234" s="118">
        <f t="shared" si="10"/>
        <v>0</v>
      </c>
      <c r="H234" s="118">
        <f t="shared" si="4"/>
        <v>0</v>
      </c>
      <c r="I234" s="132" t="str">
        <f t="shared" si="14"/>
        <v>גביה בשנת הדוח</v>
      </c>
      <c r="J234" s="171">
        <f t="shared" si="13"/>
        <v>52231</v>
      </c>
      <c r="K234" s="158">
        <f t="shared" si="13"/>
        <v>61337</v>
      </c>
    </row>
    <row r="235" spans="2:11" ht="15" x14ac:dyDescent="0.2">
      <c r="B235" s="118">
        <f>B40</f>
        <v>0</v>
      </c>
      <c r="C235" s="118">
        <f>C40</f>
        <v>0</v>
      </c>
      <c r="D235" s="118">
        <f>D40</f>
        <v>0</v>
      </c>
      <c r="E235" s="118">
        <f>E40</f>
        <v>0</v>
      </c>
      <c r="F235" s="118">
        <f>F40</f>
        <v>0</v>
      </c>
      <c r="G235" s="118">
        <f>G40</f>
        <v>0</v>
      </c>
      <c r="H235" s="118">
        <f t="shared" si="4"/>
        <v>0</v>
      </c>
      <c r="I235" s="132" t="str">
        <f t="shared" si="14"/>
        <v>יתרת חוב לסוף השנה</v>
      </c>
      <c r="J235" s="157">
        <f t="shared" si="13"/>
        <v>14405.529999999999</v>
      </c>
      <c r="K235" s="173">
        <f t="shared" si="13"/>
        <v>63111.729999999981</v>
      </c>
    </row>
    <row r="236" spans="2:11" ht="15" x14ac:dyDescent="0.2">
      <c r="B236" s="118"/>
      <c r="C236" s="118"/>
      <c r="D236" s="118"/>
      <c r="E236" s="118"/>
      <c r="F236" s="118"/>
      <c r="G236" s="118"/>
      <c r="H236" s="118"/>
      <c r="I236" s="132" t="str">
        <f t="shared" si="14"/>
        <v>חובות מסופקים וחובות למחיקה</v>
      </c>
      <c r="J236" s="171">
        <f t="shared" si="13"/>
        <v>50430</v>
      </c>
      <c r="K236" s="158">
        <f t="shared" si="13"/>
        <v>820</v>
      </c>
    </row>
    <row r="237" spans="2:11" ht="15.75" thickBot="1" x14ac:dyDescent="0.25">
      <c r="B237" s="118"/>
      <c r="C237" s="118"/>
      <c r="D237" s="118"/>
      <c r="E237" s="118"/>
      <c r="F237" s="118"/>
      <c r="G237" s="118"/>
      <c r="H237" s="118"/>
      <c r="I237" s="132" t="str">
        <f t="shared" si="14"/>
        <v>סה"כ יתרות לסוף שנה כולל חובות מסופקים</v>
      </c>
      <c r="J237" s="174">
        <f t="shared" si="13"/>
        <v>64835.53</v>
      </c>
      <c r="K237" s="175">
        <f t="shared" si="13"/>
        <v>63931.729999999981</v>
      </c>
    </row>
    <row r="238" spans="2:11" ht="15.75" thickTop="1" x14ac:dyDescent="0.2">
      <c r="B238" s="176" t="str">
        <f>B41</f>
        <v>נתוני ביצוע  התקציב הבלתי רגיל</v>
      </c>
      <c r="C238" s="176"/>
      <c r="D238" s="176"/>
      <c r="E238" s="114">
        <f t="shared" ref="E238:G245" si="15">E41</f>
        <v>0</v>
      </c>
      <c r="F238" s="118">
        <f t="shared" si="15"/>
        <v>0</v>
      </c>
      <c r="G238" s="118">
        <f t="shared" si="15"/>
        <v>0</v>
      </c>
      <c r="H238" s="118">
        <f>H41</f>
        <v>0</v>
      </c>
      <c r="I238" s="132" t="str">
        <f>IF(AND($J43=0,$K43=0),"",$I43)</f>
        <v>אחוז גביה מהפיגורים (*)</v>
      </c>
      <c r="J238" s="177">
        <f t="shared" si="13"/>
        <v>0.51793852601079426</v>
      </c>
      <c r="K238" s="178">
        <f t="shared" si="13"/>
        <v>9.4138821504030051E-2</v>
      </c>
    </row>
    <row r="239" spans="2:11" ht="15" x14ac:dyDescent="0.2">
      <c r="B239" s="166">
        <f>B42</f>
        <v>0</v>
      </c>
      <c r="C239" s="126">
        <f t="shared" ref="C239:D244" si="16">C42</f>
        <v>2020</v>
      </c>
      <c r="D239" s="127">
        <f t="shared" si="16"/>
        <v>2019</v>
      </c>
      <c r="E239" s="118">
        <f t="shared" si="15"/>
        <v>0</v>
      </c>
      <c r="F239" s="118">
        <f t="shared" si="15"/>
        <v>0</v>
      </c>
      <c r="G239" s="118">
        <f t="shared" si="15"/>
        <v>0</v>
      </c>
      <c r="H239" s="118">
        <f>H42</f>
        <v>0</v>
      </c>
      <c r="I239" s="132" t="str">
        <f>IF(AND($J44=0,$K44=0),"",$I44)</f>
        <v>אחוז גביה מהשוטף (*)</v>
      </c>
      <c r="J239" s="177">
        <f t="shared" si="13"/>
        <v>0.83600824375076288</v>
      </c>
      <c r="K239" s="178">
        <f t="shared" si="13"/>
        <v>0.91360185408892236</v>
      </c>
    </row>
    <row r="240" spans="2:11" x14ac:dyDescent="0.2">
      <c r="B240" s="128" t="str">
        <f>IF(AND($C43=0,$D43=0),"",$B43)</f>
        <v>עודף (גרעון) זמני לתחילת השנה</v>
      </c>
      <c r="C240" s="129">
        <f t="shared" si="16"/>
        <v>22854</v>
      </c>
      <c r="D240" s="133">
        <f t="shared" si="16"/>
        <v>-193</v>
      </c>
      <c r="E240" s="118">
        <f t="shared" si="15"/>
        <v>0</v>
      </c>
      <c r="F240" s="118">
        <f t="shared" si="15"/>
        <v>0</v>
      </c>
      <c r="G240" s="118">
        <f t="shared" si="15"/>
        <v>0</v>
      </c>
      <c r="H240" s="118">
        <f>H43</f>
        <v>0</v>
      </c>
      <c r="I240" s="132" t="str">
        <f>IF(AND($J45=0,$K45=0),"",$I45)</f>
        <v>יחס הגביה לחוב הכולל (*)</v>
      </c>
      <c r="J240" s="177">
        <f t="shared" si="13"/>
        <v>0.78381932552610412</v>
      </c>
      <c r="K240" s="178">
        <f t="shared" si="13"/>
        <v>0.49286963394483818</v>
      </c>
    </row>
    <row r="241" spans="2:12" x14ac:dyDescent="0.2">
      <c r="B241" s="128" t="str">
        <f>IF(AND($C44=0,$D44=0),"",$B44)</f>
        <v>תקבולים במהלך השנה</v>
      </c>
      <c r="C241" s="134">
        <f t="shared" si="16"/>
        <v>40912</v>
      </c>
      <c r="D241" s="137">
        <f t="shared" si="16"/>
        <v>62850</v>
      </c>
      <c r="E241" s="118">
        <f t="shared" si="15"/>
        <v>0</v>
      </c>
      <c r="F241" s="118">
        <f t="shared" si="15"/>
        <v>0</v>
      </c>
      <c r="G241" s="118">
        <f t="shared" si="15"/>
        <v>0</v>
      </c>
      <c r="H241" s="118">
        <f>H44</f>
        <v>0</v>
      </c>
      <c r="I241" s="162" t="str">
        <f>IF(AND($J46=0,$K46=0),"",$I46)</f>
        <v>ממוצע ארנונה למגורים למ"ר</v>
      </c>
      <c r="J241" s="179">
        <f t="shared" si="13"/>
        <v>42.494114652923585</v>
      </c>
      <c r="K241" s="180">
        <f t="shared" si="13"/>
        <v>41.431034482758626</v>
      </c>
    </row>
    <row r="242" spans="2:12" x14ac:dyDescent="0.2">
      <c r="B242" s="128" t="str">
        <f>IF(AND($C45=0,$D45=0),"",$B45)</f>
        <v>תשלומים במהלך השנה</v>
      </c>
      <c r="C242" s="134">
        <f t="shared" si="16"/>
        <v>43911</v>
      </c>
      <c r="D242" s="137">
        <f t="shared" si="16"/>
        <v>39803</v>
      </c>
      <c r="E242" s="181">
        <f t="shared" si="15"/>
        <v>0</v>
      </c>
      <c r="F242" s="118">
        <f t="shared" si="15"/>
        <v>0</v>
      </c>
      <c r="G242" s="118">
        <f t="shared" si="15"/>
        <v>0</v>
      </c>
      <c r="H242" s="118">
        <f>H45</f>
        <v>0</v>
      </c>
      <c r="I242" s="182" t="str">
        <f>I47</f>
        <v>(*) השיעורים מחושבים ללא חובות מסופקים וחובות למחיקה.</v>
      </c>
      <c r="J242" s="118"/>
      <c r="K242" s="118"/>
    </row>
    <row r="243" spans="2:12" ht="15" x14ac:dyDescent="0.2">
      <c r="B243" s="128" t="str">
        <f>IF(AND($C46=0,$D46=0),"",$B46)</f>
        <v>עודף (גרעון) זמני לסוף השנה</v>
      </c>
      <c r="C243" s="134">
        <f t="shared" si="16"/>
        <v>19855</v>
      </c>
      <c r="D243" s="137">
        <f t="shared" si="16"/>
        <v>22854</v>
      </c>
      <c r="E243" s="118">
        <f t="shared" si="15"/>
        <v>0</v>
      </c>
      <c r="F243" s="183">
        <f t="shared" si="15"/>
        <v>0</v>
      </c>
      <c r="G243" s="183"/>
      <c r="H243" s="183"/>
      <c r="I243" s="183"/>
      <c r="J243" s="118"/>
      <c r="K243" s="118"/>
    </row>
    <row r="244" spans="2:12" ht="15" x14ac:dyDescent="0.2">
      <c r="B244" s="162">
        <f>B47</f>
        <v>0</v>
      </c>
      <c r="C244" s="160">
        <f t="shared" si="16"/>
        <v>0</v>
      </c>
      <c r="D244" s="164">
        <f t="shared" si="16"/>
        <v>0</v>
      </c>
      <c r="E244" s="118">
        <f t="shared" si="15"/>
        <v>0</v>
      </c>
      <c r="F244" s="118">
        <f t="shared" si="15"/>
        <v>0</v>
      </c>
      <c r="G244" s="183">
        <f>G47</f>
        <v>0</v>
      </c>
      <c r="H244" s="183"/>
      <c r="I244" s="183"/>
      <c r="J244" s="183"/>
      <c r="K244" s="118"/>
      <c r="L244" s="118"/>
    </row>
    <row r="245" spans="2:12" ht="15" x14ac:dyDescent="0.2">
      <c r="B245" s="184" t="str">
        <f>B48</f>
        <v>*נכון לחודש אוקטובר 2020</v>
      </c>
      <c r="C245" s="118">
        <f>C48</f>
        <v>0</v>
      </c>
      <c r="D245" s="118">
        <f>D48</f>
        <v>0</v>
      </c>
      <c r="E245" s="118">
        <f t="shared" si="15"/>
        <v>0</v>
      </c>
      <c r="F245" s="183" t="str">
        <f t="shared" si="15"/>
        <v>תקציב הרשות אושר על ידי משרד הפנים</v>
      </c>
      <c r="G245" s="183"/>
      <c r="H245" s="183"/>
      <c r="I245" s="183"/>
      <c r="J245" s="106"/>
      <c r="K245" s="118">
        <f>K48</f>
        <v>0</v>
      </c>
    </row>
    <row r="246" spans="2:12" x14ac:dyDescent="0.2">
      <c r="B246" s="184"/>
      <c r="C246" s="118"/>
      <c r="D246" s="118"/>
      <c r="E246" s="118"/>
      <c r="F246" s="185" t="str">
        <f>F49</f>
        <v/>
      </c>
      <c r="G246" s="185"/>
      <c r="H246" s="185"/>
      <c r="I246" s="185"/>
      <c r="J246" s="185"/>
      <c r="K246" s="185"/>
    </row>
  </sheetData>
  <mergeCells count="34">
    <mergeCell ref="G244:J244"/>
    <mergeCell ref="F245:J245"/>
    <mergeCell ref="F246:K246"/>
    <mergeCell ref="B204:G204"/>
    <mergeCell ref="I204:K204"/>
    <mergeCell ref="B226:K226"/>
    <mergeCell ref="I227:K227"/>
    <mergeCell ref="B238:D238"/>
    <mergeCell ref="F243:I243"/>
    <mergeCell ref="C201:D201"/>
    <mergeCell ref="E201:F201"/>
    <mergeCell ref="G201:H201"/>
    <mergeCell ref="C202:D202"/>
    <mergeCell ref="E202:F202"/>
    <mergeCell ref="G202:H202"/>
    <mergeCell ref="B41:D41"/>
    <mergeCell ref="F48:J48"/>
    <mergeCell ref="B194:K194"/>
    <mergeCell ref="B195:K195"/>
    <mergeCell ref="B196:K196"/>
    <mergeCell ref="C200:D200"/>
    <mergeCell ref="C7:D7"/>
    <mergeCell ref="E7:F7"/>
    <mergeCell ref="G7:H7"/>
    <mergeCell ref="B9:G9"/>
    <mergeCell ref="I9:K9"/>
    <mergeCell ref="I32:K32"/>
    <mergeCell ref="E1:I1"/>
    <mergeCell ref="E2:I2"/>
    <mergeCell ref="E3:I3"/>
    <mergeCell ref="C5:D5"/>
    <mergeCell ref="C6:D6"/>
    <mergeCell ref="E6:F6"/>
    <mergeCell ref="G6:H6"/>
  </mergeCells>
  <hyperlinks>
    <hyperlink ref="A4" location="'תוכן הענינים'!A1" tooltip="לחץ להצגת גליון תוכן הענינים" display="הצג תוכן ענינים"/>
  </hyperlink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2022-05-10T10:50:34Z</dcterms:created>
  <dcterms:modified xsi:type="dcterms:W3CDTF">2022-05-10T10:54:10Z</dcterms:modified>
</cp:coreProperties>
</file>